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https://mytrine.sharepoint.com/sites/MCDGearboxGroupspring2025/Shared Documents/General/EXAMPLE FOR ASSIGNMENT WILL GET A IF FOLLOWED/"/>
    </mc:Choice>
  </mc:AlternateContent>
  <xr:revisionPtr revIDLastSave="504" documentId="13_ncr:1_{8AE5C27C-BB27-4EBE-8F8A-B4B34ACCC6C3}" xr6:coauthVersionLast="47" xr6:coauthVersionMax="47" xr10:uidLastSave="{634F2142-B4D5-4CBC-AF61-02396B9527A8}"/>
  <bookViews>
    <workbookView xWindow="-105" yWindow="0" windowWidth="14610" windowHeight="15585" xr2:uid="{B61A4DC8-4F83-4A57-AE0C-3B3744D9FFDC}"/>
  </bookViews>
  <sheets>
    <sheet name="Sheet1" sheetId="1" r:id="rId1"/>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103" i="1" l="1"/>
  <c r="S278" i="1"/>
  <c r="S276" i="1"/>
  <c r="G470" i="1"/>
  <c r="G466" i="1"/>
  <c r="F18" i="1"/>
  <c r="H611" i="1"/>
  <c r="I106" i="1"/>
  <c r="I96" i="1"/>
  <c r="B378" i="1" l="1"/>
  <c r="H157" i="1"/>
  <c r="I123" i="1"/>
  <c r="I105" i="1"/>
  <c r="I104" i="1"/>
  <c r="I102" i="1"/>
  <c r="I87" i="1"/>
  <c r="X110" i="1"/>
  <c r="X116" i="1" s="1"/>
  <c r="J399" i="1"/>
  <c r="X114" i="1"/>
  <c r="X108" i="1"/>
  <c r="AH65" i="1"/>
  <c r="AF38" i="1"/>
  <c r="AF37" i="1"/>
  <c r="AE38" i="1"/>
  <c r="AE37" i="1"/>
  <c r="AE36" i="1"/>
  <c r="R650" i="1" l="1"/>
  <c r="R644" i="1"/>
  <c r="S646" i="1"/>
  <c r="S645" i="1"/>
  <c r="S644" i="1"/>
  <c r="R645" i="1"/>
  <c r="R646" i="1"/>
  <c r="Q602" i="1"/>
  <c r="Q605" i="1"/>
  <c r="Q606" i="1" s="1"/>
  <c r="Q477" i="1"/>
  <c r="Q476" i="1"/>
  <c r="Q474" i="1"/>
  <c r="Q603" i="1" s="1"/>
  <c r="Q473" i="1"/>
  <c r="S440" i="1"/>
  <c r="S448" i="1"/>
  <c r="S432" i="1"/>
  <c r="O449" i="1"/>
  <c r="P449" i="1" s="1"/>
  <c r="O441" i="1"/>
  <c r="Q441" i="1" s="1"/>
  <c r="P432" i="1"/>
  <c r="Q432" i="1"/>
  <c r="O445" i="1"/>
  <c r="Q445" i="1" s="1"/>
  <c r="P409" i="1"/>
  <c r="Q409" i="1"/>
  <c r="P410" i="1"/>
  <c r="Q410" i="1"/>
  <c r="Q411" i="1"/>
  <c r="Q413" i="1"/>
  <c r="Q419" i="1"/>
  <c r="Q421" i="1"/>
  <c r="P425" i="1"/>
  <c r="Q425" i="1"/>
  <c r="P426" i="1"/>
  <c r="Q426" i="1"/>
  <c r="Q427" i="1"/>
  <c r="Q405" i="1"/>
  <c r="R279" i="1"/>
  <c r="S279" i="1" s="1"/>
  <c r="Q279" i="1"/>
  <c r="S270" i="1"/>
  <c r="S267" i="1"/>
  <c r="S268" i="1"/>
  <c r="AG37" i="1" s="1"/>
  <c r="S269" i="1"/>
  <c r="S266" i="1"/>
  <c r="AF36" i="1" s="1"/>
  <c r="L228" i="1"/>
  <c r="T44" i="1"/>
  <c r="R29" i="1"/>
  <c r="R25" i="1"/>
  <c r="R26" i="1"/>
  <c r="R27" i="1"/>
  <c r="R28" i="1"/>
  <c r="R24" i="1"/>
  <c r="Q25" i="1"/>
  <c r="Q26" i="1"/>
  <c r="Q27" i="1"/>
  <c r="Q28" i="1"/>
  <c r="Q29" i="1"/>
  <c r="Q24" i="1"/>
  <c r="P25" i="1"/>
  <c r="P26" i="1"/>
  <c r="P27" i="1"/>
  <c r="P28" i="1"/>
  <c r="P29" i="1"/>
  <c r="P24" i="1"/>
  <c r="O25" i="1"/>
  <c r="T38" i="1" s="1"/>
  <c r="O26" i="1"/>
  <c r="T49" i="1" s="1"/>
  <c r="O27" i="1"/>
  <c r="T50" i="1" s="1"/>
  <c r="O28" i="1"/>
  <c r="T43" i="1" s="1"/>
  <c r="O29" i="1"/>
  <c r="O24" i="1"/>
  <c r="T37" i="1" s="1"/>
  <c r="N25" i="1"/>
  <c r="N26" i="1"/>
  <c r="N27" i="1"/>
  <c r="N28" i="1"/>
  <c r="N29" i="1"/>
  <c r="N24" i="1"/>
  <c r="M25" i="1"/>
  <c r="M26" i="1"/>
  <c r="M27" i="1"/>
  <c r="M28" i="1"/>
  <c r="M29" i="1"/>
  <c r="M24" i="1"/>
  <c r="T36" i="1"/>
  <c r="B590" i="1"/>
  <c r="P445" i="1" l="1"/>
  <c r="O446" i="1"/>
  <c r="O433" i="1"/>
  <c r="Q277" i="1"/>
  <c r="R277" i="1" s="1"/>
  <c r="S277" i="1" s="1"/>
  <c r="T277" i="1" s="1"/>
  <c r="AD36" i="1"/>
  <c r="X36" i="1"/>
  <c r="X38" i="1"/>
  <c r="X37" i="1"/>
  <c r="AD38" i="1"/>
  <c r="AB37" i="1"/>
  <c r="O450" i="1"/>
  <c r="Q449" i="1"/>
  <c r="Q433" i="1"/>
  <c r="P441" i="1"/>
  <c r="O442" i="1"/>
  <c r="P97" i="1"/>
  <c r="P96" i="1"/>
  <c r="T279" i="1"/>
  <c r="T48" i="1"/>
  <c r="L99" i="1" s="1"/>
  <c r="L95" i="1"/>
  <c r="P399" i="1" s="1"/>
  <c r="L96" i="1"/>
  <c r="L97" i="1"/>
  <c r="L98" i="1"/>
  <c r="G374" i="1"/>
  <c r="H432" i="1" s="1"/>
  <c r="R69" i="1" s="1"/>
  <c r="J372" i="1"/>
  <c r="I372" i="1"/>
  <c r="H372" i="1"/>
  <c r="G372" i="1"/>
  <c r="J370" i="1"/>
  <c r="I370" i="1"/>
  <c r="H370" i="1"/>
  <c r="G370" i="1"/>
  <c r="B372" i="1"/>
  <c r="B371" i="1"/>
  <c r="B370" i="1"/>
  <c r="B373" i="1"/>
  <c r="F366" i="1"/>
  <c r="E366" i="1"/>
  <c r="B366" i="1"/>
  <c r="I243" i="1"/>
  <c r="I241" i="1"/>
  <c r="H144" i="1"/>
  <c r="H142" i="1"/>
  <c r="H139" i="1"/>
  <c r="I238" i="1" s="1"/>
  <c r="H138" i="1"/>
  <c r="I237" i="1" s="1"/>
  <c r="H136" i="1"/>
  <c r="I235" i="1" s="1"/>
  <c r="H135" i="1"/>
  <c r="I234" i="1" s="1"/>
  <c r="R399" i="1" l="1"/>
  <c r="R411" i="1" s="1"/>
  <c r="Q446" i="1"/>
  <c r="P446" i="1"/>
  <c r="O447" i="1"/>
  <c r="P433" i="1"/>
  <c r="O434" i="1"/>
  <c r="AD37" i="1"/>
  <c r="AC37" i="1" s="1"/>
  <c r="V37" i="1"/>
  <c r="Z37" i="1" s="1"/>
  <c r="AA37" i="1" s="1"/>
  <c r="AH37" i="1"/>
  <c r="AD69" i="1" s="1"/>
  <c r="R401" i="1"/>
  <c r="R427" i="1" s="1"/>
  <c r="P401" i="1"/>
  <c r="V38" i="1"/>
  <c r="W38" i="1" s="1"/>
  <c r="AD75" i="1"/>
  <c r="AH38" i="1"/>
  <c r="AE70" i="1" s="1"/>
  <c r="AA38" i="1"/>
  <c r="Y38" i="1"/>
  <c r="AC38" i="1"/>
  <c r="R407" i="1"/>
  <c r="R406" i="1"/>
  <c r="Q400" i="1"/>
  <c r="P400" i="1"/>
  <c r="R400" i="1"/>
  <c r="R419" i="1" s="1"/>
  <c r="S400" i="1"/>
  <c r="R416" i="1" s="1"/>
  <c r="V36" i="1"/>
  <c r="W36" i="1" s="1"/>
  <c r="AC36" i="1"/>
  <c r="AA36" i="1"/>
  <c r="AD73" i="1"/>
  <c r="Y36" i="1"/>
  <c r="AH36" i="1"/>
  <c r="AD68" i="1" s="1"/>
  <c r="P450" i="1"/>
  <c r="Q450" i="1"/>
  <c r="O451" i="1"/>
  <c r="O443" i="1"/>
  <c r="Q442" i="1"/>
  <c r="P442" i="1"/>
  <c r="S233" i="1"/>
  <c r="B462" i="1"/>
  <c r="B461" i="1"/>
  <c r="B460" i="1"/>
  <c r="B459" i="1"/>
  <c r="B458" i="1"/>
  <c r="I595" i="1"/>
  <c r="R408" i="1" l="1"/>
  <c r="AE74" i="1"/>
  <c r="V75" i="1" s="1"/>
  <c r="Y37" i="1"/>
  <c r="AI37" i="1"/>
  <c r="AF69" i="1" s="1"/>
  <c r="W37" i="1"/>
  <c r="AD74" i="1"/>
  <c r="V73" i="1" s="1"/>
  <c r="P447" i="1"/>
  <c r="Q447" i="1"/>
  <c r="O435" i="1"/>
  <c r="Q434" i="1"/>
  <c r="P434" i="1"/>
  <c r="W77" i="1"/>
  <c r="W78" i="1"/>
  <c r="AC110" i="1" s="1"/>
  <c r="AC116" i="1" s="1"/>
  <c r="V70" i="1"/>
  <c r="V69" i="1"/>
  <c r="R415" i="1"/>
  <c r="R424" i="1"/>
  <c r="R414" i="1"/>
  <c r="R417" i="1"/>
  <c r="R418" i="1"/>
  <c r="V74" i="1"/>
  <c r="X74" i="1"/>
  <c r="AD109" i="1" s="1"/>
  <c r="AD115" i="1" s="1"/>
  <c r="X73" i="1"/>
  <c r="X72" i="1"/>
  <c r="X75" i="1"/>
  <c r="R423" i="1"/>
  <c r="R422" i="1"/>
  <c r="O452" i="1"/>
  <c r="P451" i="1"/>
  <c r="Q451" i="1"/>
  <c r="Q443" i="1"/>
  <c r="P443" i="1"/>
  <c r="O444" i="1"/>
  <c r="I103" i="1"/>
  <c r="I110" i="1"/>
  <c r="I74" i="1"/>
  <c r="I38" i="1"/>
  <c r="B374" i="1" s="1"/>
  <c r="V72" i="1" l="1"/>
  <c r="AB109" i="1" s="1"/>
  <c r="AB115" i="1" s="1"/>
  <c r="P435" i="1"/>
  <c r="Q435" i="1"/>
  <c r="O436" i="1"/>
  <c r="AB108" i="1"/>
  <c r="AB114" i="1" s="1"/>
  <c r="AE109" i="1"/>
  <c r="AE115" i="1" s="1"/>
  <c r="W122" i="1"/>
  <c r="Q292" i="1"/>
  <c r="L399" i="1" s="1"/>
  <c r="O453" i="1"/>
  <c r="P452" i="1"/>
  <c r="Q452" i="1"/>
  <c r="Q444" i="1"/>
  <c r="P444" i="1"/>
  <c r="F28" i="1"/>
  <c r="B376" i="1"/>
  <c r="I373" i="1"/>
  <c r="G373" i="1"/>
  <c r="I91" i="1"/>
  <c r="J374" i="1"/>
  <c r="H158" i="1"/>
  <c r="J373" i="1"/>
  <c r="H373" i="1"/>
  <c r="I124" i="1"/>
  <c r="I128" i="1" s="1"/>
  <c r="I111" i="1"/>
  <c r="F19" i="1"/>
  <c r="F29" i="1" s="1"/>
  <c r="I39" i="1" l="1"/>
  <c r="Q436" i="1"/>
  <c r="O437" i="1"/>
  <c r="P436" i="1"/>
  <c r="S235" i="1"/>
  <c r="R652" i="1"/>
  <c r="H374" i="1"/>
  <c r="X109" i="1"/>
  <c r="X115" i="1" s="1"/>
  <c r="N408" i="1"/>
  <c r="L411" i="1"/>
  <c r="N406" i="1"/>
  <c r="L408" i="1"/>
  <c r="L405" i="1"/>
  <c r="N407" i="1"/>
  <c r="L406" i="1"/>
  <c r="W124" i="1"/>
  <c r="W123" i="1"/>
  <c r="Q294" i="1"/>
  <c r="N400" i="1" s="1"/>
  <c r="Q453" i="1"/>
  <c r="O454" i="1"/>
  <c r="P453" i="1"/>
  <c r="G375" i="1"/>
  <c r="Q293" i="1"/>
  <c r="L400" i="1" s="1"/>
  <c r="T276" i="1"/>
  <c r="T278" i="1" s="1"/>
  <c r="T280" i="1" s="1"/>
  <c r="T282" i="1" s="1"/>
  <c r="R276" i="1"/>
  <c r="R278" i="1" s="1"/>
  <c r="R280" i="1" s="1"/>
  <c r="R282" i="1" s="1"/>
  <c r="AH54" i="1" s="1"/>
  <c r="S280" i="1"/>
  <c r="S282" i="1" s="1"/>
  <c r="Q276" i="1"/>
  <c r="I127" i="1"/>
  <c r="I203" i="1" s="1"/>
  <c r="J371" i="1"/>
  <c r="H371" i="1"/>
  <c r="G371" i="1"/>
  <c r="I371" i="1"/>
  <c r="I377" i="1"/>
  <c r="I378" i="1" s="1"/>
  <c r="J377" i="1"/>
  <c r="J378" i="1" s="1"/>
  <c r="H434" i="1"/>
  <c r="R71" i="1" s="1"/>
  <c r="I597" i="1"/>
  <c r="H433" i="1"/>
  <c r="R70" i="1" s="1"/>
  <c r="I596" i="1"/>
  <c r="I374" i="1"/>
  <c r="H377" i="1"/>
  <c r="H378" i="1" s="1"/>
  <c r="G377" i="1"/>
  <c r="G378" i="1" s="1"/>
  <c r="J375" i="1"/>
  <c r="I375" i="1"/>
  <c r="I114" i="1"/>
  <c r="I285" i="1"/>
  <c r="H354" i="1" s="1"/>
  <c r="I208" i="1"/>
  <c r="I209" i="1"/>
  <c r="I113" i="1"/>
  <c r="I207" i="1"/>
  <c r="I206" i="1"/>
  <c r="I75" i="1" l="1"/>
  <c r="I40" i="1"/>
  <c r="I51" i="1" s="1"/>
  <c r="F54" i="1" s="1"/>
  <c r="O438" i="1"/>
  <c r="P437" i="1"/>
  <c r="Q437" i="1"/>
  <c r="AE69" i="1"/>
  <c r="AH56" i="1"/>
  <c r="AD70" i="1" s="1"/>
  <c r="S234" i="1"/>
  <c r="R651" i="1"/>
  <c r="Q289" i="1"/>
  <c r="M401" i="1" s="1"/>
  <c r="I376" i="1"/>
  <c r="Q112" i="1" s="1"/>
  <c r="Q110" i="1" s="1"/>
  <c r="Q288" i="1"/>
  <c r="O400" i="1" s="1"/>
  <c r="Q295" i="1"/>
  <c r="L401" i="1" s="1"/>
  <c r="G376" i="1"/>
  <c r="H376" i="1" s="1"/>
  <c r="Q287" i="1"/>
  <c r="M400" i="1" s="1"/>
  <c r="L419" i="1"/>
  <c r="L413" i="1"/>
  <c r="L418" i="1"/>
  <c r="N418" i="1"/>
  <c r="L414" i="1"/>
  <c r="N416" i="1"/>
  <c r="N415" i="1"/>
  <c r="N417" i="1"/>
  <c r="N414" i="1"/>
  <c r="L416" i="1"/>
  <c r="O455" i="1"/>
  <c r="P454" i="1"/>
  <c r="Q454" i="1"/>
  <c r="Q107" i="1"/>
  <c r="Q105" i="1" s="1"/>
  <c r="Q101" i="1"/>
  <c r="H375" i="1"/>
  <c r="Q278" i="1"/>
  <c r="Q280" i="1" s="1"/>
  <c r="Q282" i="1" s="1"/>
  <c r="AH53" i="1" s="1"/>
  <c r="G474" i="1"/>
  <c r="G472" i="1" s="1"/>
  <c r="Q111" i="1"/>
  <c r="Q104" i="1"/>
  <c r="Q102" i="1" s="1"/>
  <c r="I200" i="1"/>
  <c r="I201" i="1"/>
  <c r="I202" i="1"/>
  <c r="G269" i="1" s="1"/>
  <c r="G468" i="1"/>
  <c r="G475" i="1"/>
  <c r="G473" i="1" s="1"/>
  <c r="J376" i="1"/>
  <c r="G467" i="1"/>
  <c r="G479" i="1" s="1"/>
  <c r="F586" i="1" s="1"/>
  <c r="I586" i="1" s="1"/>
  <c r="H609" i="1" s="1"/>
  <c r="G464" i="1"/>
  <c r="G270" i="1"/>
  <c r="H270" i="1"/>
  <c r="I287" i="1"/>
  <c r="I286" i="1"/>
  <c r="B377" i="1"/>
  <c r="F64" i="1" l="1"/>
  <c r="F55" i="1"/>
  <c r="F65" i="1" s="1"/>
  <c r="I76" i="1" s="1"/>
  <c r="P438" i="1"/>
  <c r="O439" i="1"/>
  <c r="Q438" i="1"/>
  <c r="Q286" i="1"/>
  <c r="M399" i="1" s="1"/>
  <c r="O408" i="1" s="1"/>
  <c r="Q408" i="1" s="1"/>
  <c r="V78" i="1"/>
  <c r="Z78" i="1" s="1"/>
  <c r="V77" i="1"/>
  <c r="G471" i="1"/>
  <c r="G469" i="1" s="1"/>
  <c r="Q108" i="1"/>
  <c r="Q106" i="1" s="1"/>
  <c r="Q117" i="1" s="1"/>
  <c r="P225" i="1" s="1"/>
  <c r="S225" i="1" s="1"/>
  <c r="R248" i="1" s="1"/>
  <c r="W74" i="1"/>
  <c r="W72" i="1"/>
  <c r="W73" i="1"/>
  <c r="AC109" i="1" s="1"/>
  <c r="AC115" i="1" s="1"/>
  <c r="V115" i="1" s="1"/>
  <c r="W75" i="1"/>
  <c r="AH55" i="1"/>
  <c r="AG69" i="1" s="1"/>
  <c r="AE68" i="1"/>
  <c r="N424" i="1"/>
  <c r="N423" i="1"/>
  <c r="L427" i="1"/>
  <c r="N422" i="1"/>
  <c r="L424" i="1"/>
  <c r="L422" i="1"/>
  <c r="L421" i="1"/>
  <c r="O424" i="1"/>
  <c r="O423" i="1"/>
  <c r="M427" i="1"/>
  <c r="M422" i="1"/>
  <c r="M424" i="1"/>
  <c r="O422" i="1"/>
  <c r="M421" i="1"/>
  <c r="M414" i="1"/>
  <c r="P414" i="1" s="1"/>
  <c r="O414" i="1"/>
  <c r="Q414" i="1" s="1"/>
  <c r="M418" i="1"/>
  <c r="P418" i="1" s="1"/>
  <c r="M413" i="1"/>
  <c r="P413" i="1" s="1"/>
  <c r="M416" i="1"/>
  <c r="P416" i="1" s="1"/>
  <c r="O415" i="1"/>
  <c r="Q415" i="1" s="1"/>
  <c r="O417" i="1"/>
  <c r="Q417" i="1" s="1"/>
  <c r="O416" i="1"/>
  <c r="Q416" i="1" s="1"/>
  <c r="O418" i="1"/>
  <c r="Q418" i="1" s="1"/>
  <c r="M419" i="1"/>
  <c r="P419" i="1" s="1"/>
  <c r="M406" i="1"/>
  <c r="P406" i="1" s="1"/>
  <c r="M411" i="1"/>
  <c r="P411" i="1" s="1"/>
  <c r="O406" i="1"/>
  <c r="Q406" i="1" s="1"/>
  <c r="Q115" i="1"/>
  <c r="P223" i="1" s="1"/>
  <c r="S223" i="1" s="1"/>
  <c r="R246" i="1" s="1"/>
  <c r="P455" i="1"/>
  <c r="Q455" i="1"/>
  <c r="Q116" i="1"/>
  <c r="P224" i="1" s="1"/>
  <c r="S224" i="1" s="1"/>
  <c r="R247" i="1" s="1"/>
  <c r="Q109" i="1"/>
  <c r="Q119" i="1" s="1"/>
  <c r="P227" i="1" s="1"/>
  <c r="S227" i="1" s="1"/>
  <c r="R250" i="1" s="1"/>
  <c r="Q120" i="1"/>
  <c r="P228" i="1" s="1"/>
  <c r="S228" i="1" s="1"/>
  <c r="R251" i="1" s="1"/>
  <c r="C633" i="1"/>
  <c r="S247" i="1"/>
  <c r="G465" i="1"/>
  <c r="G478" i="1" s="1"/>
  <c r="F585" i="1" s="1"/>
  <c r="I585" i="1" s="1"/>
  <c r="H608" i="1" s="1"/>
  <c r="H269" i="1"/>
  <c r="G483" i="1"/>
  <c r="F590" i="1" s="1"/>
  <c r="I590" i="1" s="1"/>
  <c r="H613" i="1" s="1"/>
  <c r="G482" i="1"/>
  <c r="F589" i="1" s="1"/>
  <c r="I589" i="1" s="1"/>
  <c r="H612" i="1" s="1"/>
  <c r="G480" i="1"/>
  <c r="F587" i="1" s="1"/>
  <c r="I587" i="1" s="1"/>
  <c r="H610" i="1" s="1"/>
  <c r="G481" i="1"/>
  <c r="F588" i="1" s="1"/>
  <c r="I588" i="1" s="1"/>
  <c r="P424" i="1" l="1"/>
  <c r="P427" i="1"/>
  <c r="P439" i="1"/>
  <c r="Q439" i="1"/>
  <c r="M405" i="1"/>
  <c r="P405" i="1" s="1"/>
  <c r="O407" i="1"/>
  <c r="Q407" i="1" s="1"/>
  <c r="M408" i="1"/>
  <c r="P408" i="1" s="1"/>
  <c r="Q118" i="1"/>
  <c r="P226" i="1" s="1"/>
  <c r="S226" i="1" s="1"/>
  <c r="R249" i="1" s="1"/>
  <c r="P421" i="1"/>
  <c r="Z77" i="1"/>
  <c r="V110" i="1" s="1"/>
  <c r="AB110" i="1"/>
  <c r="AB116" i="1" s="1"/>
  <c r="V116" i="1" s="1"/>
  <c r="W70" i="1"/>
  <c r="W69" i="1"/>
  <c r="Z69" i="1" s="1"/>
  <c r="Y73" i="1"/>
  <c r="Z73" i="1" s="1"/>
  <c r="Y74" i="1"/>
  <c r="Z74" i="1" s="1"/>
  <c r="Y75" i="1"/>
  <c r="Z75" i="1" s="1"/>
  <c r="Y72" i="1"/>
  <c r="Z72" i="1" s="1"/>
  <c r="Q422" i="1"/>
  <c r="P422" i="1"/>
  <c r="Q423" i="1"/>
  <c r="Q424" i="1"/>
  <c r="C641" i="1"/>
  <c r="S249" i="1"/>
  <c r="C637" i="1"/>
  <c r="S248" i="1"/>
  <c r="C645" i="1"/>
  <c r="S250" i="1"/>
  <c r="C649" i="1"/>
  <c r="S251" i="1"/>
  <c r="C629" i="1"/>
  <c r="S246" i="1"/>
  <c r="L432" i="1" l="1" a="1"/>
  <c r="R455" i="1" s="1"/>
  <c r="S455" i="1" s="1"/>
  <c r="V109" i="1"/>
  <c r="Z70" i="1"/>
  <c r="V108" i="1" s="1"/>
  <c r="AC108" i="1"/>
  <c r="AC114" i="1" s="1"/>
  <c r="V114" i="1" s="1"/>
  <c r="R451" i="1" l="1"/>
  <c r="S451" i="1" s="1"/>
  <c r="R446" i="1"/>
  <c r="S446" i="1" s="1"/>
  <c r="R450" i="1"/>
  <c r="S450" i="1" s="1"/>
  <c r="R447" i="1"/>
  <c r="S447" i="1" s="1"/>
  <c r="R454" i="1"/>
  <c r="S454" i="1" s="1"/>
  <c r="R439" i="1"/>
  <c r="S439" i="1" s="1"/>
  <c r="R438" i="1"/>
  <c r="S438" i="1" s="1"/>
  <c r="R436" i="1"/>
  <c r="S436" i="1" s="1"/>
  <c r="R435" i="1"/>
  <c r="S435" i="1" s="1"/>
  <c r="Q644" i="1" s="1"/>
  <c r="Q650" i="1" s="1"/>
  <c r="S650" i="1" s="1"/>
  <c r="R441" i="1"/>
  <c r="S441" i="1" s="1"/>
  <c r="R437" i="1"/>
  <c r="S437" i="1" s="1"/>
  <c r="L432" i="1"/>
  <c r="R434" i="1"/>
  <c r="S434" i="1" s="1"/>
  <c r="R443" i="1"/>
  <c r="S443" i="1" s="1"/>
  <c r="R445" i="1"/>
  <c r="S445" i="1" s="1"/>
  <c r="R442" i="1"/>
  <c r="S442" i="1" s="1"/>
  <c r="R449" i="1"/>
  <c r="S449" i="1" s="1"/>
  <c r="R453" i="1"/>
  <c r="S453" i="1" s="1"/>
  <c r="R452" i="1"/>
  <c r="S452" i="1" s="1"/>
  <c r="R444" i="1"/>
  <c r="S444" i="1" s="1"/>
  <c r="R433" i="1"/>
  <c r="S433" i="1" s="1"/>
  <c r="R629" i="1"/>
  <c r="Q535" i="1"/>
  <c r="S535" i="1"/>
  <c r="Q645" i="1"/>
  <c r="Q651" i="1" s="1"/>
  <c r="S651" i="1" s="1"/>
  <c r="S536" i="1"/>
  <c r="Q646" i="1"/>
  <c r="Q652" i="1" s="1"/>
  <c r="S652" i="1" s="1"/>
  <c r="Q536" i="1"/>
  <c r="R630" i="1"/>
  <c r="S534" i="1"/>
  <c r="R628" i="1"/>
  <c r="Q534" i="1"/>
</calcChain>
</file>

<file path=xl/metadata.xml><?xml version="1.0" encoding="utf-8"?>
<metadata xmlns="http://schemas.openxmlformats.org/spreadsheetml/2006/main"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<sst xmlns="http://schemas.openxmlformats.org/spreadsheetml/2006/main" count="1090" uniqueCount="506">
  <si>
    <t>Assigned Parameters</t>
  </si>
  <si>
    <t>Gear Box Dimensions</t>
  </si>
  <si>
    <t>Bearing Choices</t>
  </si>
  <si>
    <t>BBN</t>
  </si>
  <si>
    <t>Bore (mm)</t>
  </si>
  <si>
    <t>OD (mm)</t>
  </si>
  <si>
    <t>w (mm)</t>
  </si>
  <si>
    <t>r (mm)</t>
  </si>
  <si>
    <t>ds (mm)</t>
  </si>
  <si>
    <t>dh (mm)</t>
  </si>
  <si>
    <t>Parameter</t>
  </si>
  <si>
    <t>Symbol</t>
  </si>
  <si>
    <t>Bearing 1</t>
  </si>
  <si>
    <t>Power (hp)</t>
  </si>
  <si>
    <t>Width (in)</t>
  </si>
  <si>
    <t>W</t>
  </si>
  <si>
    <t>Bearing 2</t>
  </si>
  <si>
    <t>Input Speed (rpm)</t>
  </si>
  <si>
    <t>Depth (in)</t>
  </si>
  <si>
    <t>De</t>
  </si>
  <si>
    <t>Bearing 3</t>
  </si>
  <si>
    <t>L06</t>
  </si>
  <si>
    <t>Output Speed Minimum (rpm)</t>
  </si>
  <si>
    <t>Height (in)</t>
  </si>
  <si>
    <t>H</t>
  </si>
  <si>
    <t>Bearing 4</t>
  </si>
  <si>
    <t>Output Speed Maximum (rpm)</t>
  </si>
  <si>
    <t>Clearances + Wall Height (in)</t>
  </si>
  <si>
    <t>Clr</t>
  </si>
  <si>
    <t>Bearing 5</t>
  </si>
  <si>
    <t>Bearing Life (hours)</t>
  </si>
  <si>
    <t>Bearing 6</t>
  </si>
  <si>
    <t>Required Safety Factor Limits</t>
  </si>
  <si>
    <t>Universal Allowed Assumptions</t>
  </si>
  <si>
    <t>Gears Upper SF</t>
  </si>
  <si>
    <t>kms</t>
  </si>
  <si>
    <t>Because all of the shaft lifetimes are over 200 million hours, the shaft life can be said to be infinite for all of the shafts.</t>
  </si>
  <si>
    <t>Gears Lower SF</t>
  </si>
  <si>
    <t>99% Reliability for gears--&gt;</t>
  </si>
  <si>
    <t>Kr</t>
  </si>
  <si>
    <t>Caclulate the critical speeds of the shafts using both Dunkerley's and Raleigh's Equations.</t>
  </si>
  <si>
    <t>Shafts Upper SF</t>
  </si>
  <si>
    <t xml:space="preserve">Kv is on E curve </t>
  </si>
  <si>
    <t>Shafts Lower SF</t>
  </si>
  <si>
    <t>Km</t>
  </si>
  <si>
    <t>Temperature &lt; 160 degrees F--&gt;</t>
  </si>
  <si>
    <t>Kt</t>
  </si>
  <si>
    <t>Step 1) Determine gear specifications</t>
  </si>
  <si>
    <t>Determine Gear Ratio, e, in order to find tooth counts and gear pitch diameters</t>
  </si>
  <si>
    <t>e =</t>
  </si>
  <si>
    <t>e^-1 =</t>
  </si>
  <si>
    <t>Use e to determine Ng/Np</t>
  </si>
  <si>
    <t>and we assume…</t>
  </si>
  <si>
    <t>Bore (in)</t>
  </si>
  <si>
    <t>OD (in)</t>
  </si>
  <si>
    <t>w (in)</t>
  </si>
  <si>
    <t>r (in)</t>
  </si>
  <si>
    <t>ds (in)</t>
  </si>
  <si>
    <t>dh (in)</t>
  </si>
  <si>
    <t>So…</t>
  </si>
  <si>
    <t>which means…</t>
  </si>
  <si>
    <t>So the inverse, Ng/Np, is…</t>
  </si>
  <si>
    <t xml:space="preserve">sqrt(e)= </t>
  </si>
  <si>
    <t xml:space="preserve">sqrt(e^-1)= </t>
  </si>
  <si>
    <t>Based on these dimensions, the shaft layout is updated and the stepped shafts are designed.</t>
  </si>
  <si>
    <t>Step 2) Choose shafts based on an initial layout.</t>
  </si>
  <si>
    <t>Distance Calculations</t>
  </si>
  <si>
    <t>Then we use the following equation to determine Np, which we use to find Ng</t>
  </si>
  <si>
    <t>Dimension</t>
  </si>
  <si>
    <t>Listed as</t>
  </si>
  <si>
    <t>Value (in.)</t>
  </si>
  <si>
    <t xml:space="preserve"> </t>
  </si>
  <si>
    <t>A1</t>
  </si>
  <si>
    <t>B1</t>
  </si>
  <si>
    <t>A2</t>
  </si>
  <si>
    <t>B2</t>
  </si>
  <si>
    <t>A3</t>
  </si>
  <si>
    <t>B3</t>
  </si>
  <si>
    <t>A4</t>
  </si>
  <si>
    <t>B4</t>
  </si>
  <si>
    <t>L</t>
  </si>
  <si>
    <t>density</t>
  </si>
  <si>
    <t>Dshaft1</t>
  </si>
  <si>
    <t>Dshaft2</t>
  </si>
  <si>
    <t>Wsft (D1)</t>
  </si>
  <si>
    <t>Wsft (D2)</t>
  </si>
  <si>
    <t>Face Width</t>
  </si>
  <si>
    <t>B</t>
  </si>
  <si>
    <t>Shaft 1</t>
  </si>
  <si>
    <t xml:space="preserve">assuming </t>
  </si>
  <si>
    <t>Phi (deg)</t>
  </si>
  <si>
    <t>S1, B1 Width</t>
  </si>
  <si>
    <t>Shaft 2</t>
  </si>
  <si>
    <t>Phi (rad)</t>
  </si>
  <si>
    <t>S1, B2 Width</t>
  </si>
  <si>
    <t>C</t>
  </si>
  <si>
    <t>Shaft 3</t>
  </si>
  <si>
    <t>Np =</t>
  </si>
  <si>
    <t>S1, B1 to G1</t>
  </si>
  <si>
    <t>D</t>
  </si>
  <si>
    <t>in</t>
  </si>
  <si>
    <t>lb/in^3</t>
  </si>
  <si>
    <t>lbf</t>
  </si>
  <si>
    <t>Ng =</t>
  </si>
  <si>
    <t>S1, G1 to B2</t>
  </si>
  <si>
    <t>E</t>
  </si>
  <si>
    <t>S1, E.O.S Clearance</t>
  </si>
  <si>
    <t>F</t>
  </si>
  <si>
    <t>S1 to S3 Distance</t>
  </si>
  <si>
    <t>G</t>
  </si>
  <si>
    <t xml:space="preserve">       </t>
  </si>
  <si>
    <t>S3, B5 Width</t>
  </si>
  <si>
    <t>S3, B6 Width</t>
  </si>
  <si>
    <t>I1</t>
  </si>
  <si>
    <t>S3, B5 to G4</t>
  </si>
  <si>
    <t>J</t>
  </si>
  <si>
    <t>S3, G4 to B6</t>
  </si>
  <si>
    <t>K</t>
  </si>
  <si>
    <t>So we end up with…</t>
  </si>
  <si>
    <t>Checking that…</t>
  </si>
  <si>
    <t>S3, E.O.S Clearance</t>
  </si>
  <si>
    <t>S2, G2 to G3</t>
  </si>
  <si>
    <t>M</t>
  </si>
  <si>
    <t>S2, B3 Width</t>
  </si>
  <si>
    <t>S2, B4 Width</t>
  </si>
  <si>
    <t>I2</t>
  </si>
  <si>
    <t>Angular Speed 4 =</t>
  </si>
  <si>
    <t>rpm</t>
  </si>
  <si>
    <t>Abbreviation Meanings</t>
  </si>
  <si>
    <t>`</t>
  </si>
  <si>
    <t>This is out of range, so we redo the calculation (Calculation was redone many times via the spreadsheet, only last time is shown for efficiency)</t>
  </si>
  <si>
    <t>S1, S2, …</t>
  </si>
  <si>
    <t>Shaft 1, Shaft 2, …</t>
  </si>
  <si>
    <t>Gear Weights</t>
  </si>
  <si>
    <t>B1, B2, …</t>
  </si>
  <si>
    <t>Bearing1, Bearing2, …</t>
  </si>
  <si>
    <t>Pinion 1</t>
  </si>
  <si>
    <t>G1, G2, …</t>
  </si>
  <si>
    <t>Gear 1, Gear 2, …</t>
  </si>
  <si>
    <t>Gear 2</t>
  </si>
  <si>
    <t>E.O.S.</t>
  </si>
  <si>
    <t>End of Shaft</t>
  </si>
  <si>
    <t>Pinion 3</t>
  </si>
  <si>
    <t>Gear 4</t>
  </si>
  <si>
    <t>Shafts 1 and 3</t>
  </si>
  <si>
    <t>E=</t>
  </si>
  <si>
    <t>ksi</t>
  </si>
  <si>
    <t>Determine the torque of each shaft:</t>
  </si>
  <si>
    <t>Deflections for Critical Speed Calculation</t>
  </si>
  <si>
    <t>W1</t>
  </si>
  <si>
    <t>W2</t>
  </si>
  <si>
    <t>W3</t>
  </si>
  <si>
    <t>W4</t>
  </si>
  <si>
    <t>Shaft</t>
  </si>
  <si>
    <t>Torque</t>
  </si>
  <si>
    <t>From W1</t>
  </si>
  <si>
    <t>From W2</t>
  </si>
  <si>
    <t>From W3</t>
  </si>
  <si>
    <t>From W4</t>
  </si>
  <si>
    <t>Total Deflection</t>
  </si>
  <si>
    <t>lb*in.</t>
  </si>
  <si>
    <t>(x=a1)</t>
  </si>
  <si>
    <t>(x=a2)</t>
  </si>
  <si>
    <t>6LEI</t>
  </si>
  <si>
    <t>g =</t>
  </si>
  <si>
    <t>in/s^2</t>
  </si>
  <si>
    <t>(x=a3)</t>
  </si>
  <si>
    <t>(x=a4)</t>
  </si>
  <si>
    <t>(D1)</t>
  </si>
  <si>
    <t>(D2)</t>
  </si>
  <si>
    <t>Create the Free Body Diagrams for the Shafts. Approximate the forces of the gears and bearings as being centered about their locations on the shafts.</t>
  </si>
  <si>
    <t>Shaft 1 Free Body Diagram</t>
  </si>
  <si>
    <t>Shaft 2 Free Body Diagram</t>
  </si>
  <si>
    <t>Np (Final)</t>
  </si>
  <si>
    <t>Ng (Final)</t>
  </si>
  <si>
    <t>Therefore…</t>
  </si>
  <si>
    <t>Then we find the angular speed for gear 3</t>
  </si>
  <si>
    <t>Angular Speed 3 =</t>
  </si>
  <si>
    <t>so….</t>
  </si>
  <si>
    <t>Calclated Spacing Dimensions</t>
  </si>
  <si>
    <t>We use these found values to determine the pitch diameters of the gears:</t>
  </si>
  <si>
    <t>(B/2)+D+(A1/2)</t>
  </si>
  <si>
    <t>New Caclulated Spacing Dimensions</t>
  </si>
  <si>
    <t>Pitch =</t>
  </si>
  <si>
    <t>in^-1</t>
  </si>
  <si>
    <t>(B/2)+E+(C/2)</t>
  </si>
  <si>
    <t>(B/2)+D+(A2/2)</t>
  </si>
  <si>
    <t>Pitch (whole#)</t>
  </si>
  <si>
    <t>(H/2)+J+(B/2)</t>
  </si>
  <si>
    <t>(B/2)+K+(I2/2)</t>
  </si>
  <si>
    <t>(B/2)+K+(I1/2)</t>
  </si>
  <si>
    <t>B+M</t>
  </si>
  <si>
    <t>Bearing Reaction Forces*</t>
  </si>
  <si>
    <t>Now we solve for the pitch diameters:</t>
  </si>
  <si>
    <t>H(B1)</t>
  </si>
  <si>
    <t>lbs</t>
  </si>
  <si>
    <t>d1=d3=</t>
  </si>
  <si>
    <t>V(B1)</t>
  </si>
  <si>
    <t>d2=d4=</t>
  </si>
  <si>
    <t>H(B2)</t>
  </si>
  <si>
    <t>Raleigh's Equation</t>
  </si>
  <si>
    <t>V(B2)</t>
  </si>
  <si>
    <t>Dunkerley's Equation</t>
  </si>
  <si>
    <t>Now we check to make sure that we still fit in the internal dimensions by summing the clearances and the gear pitch diameters</t>
  </si>
  <si>
    <t>H(B3)</t>
  </si>
  <si>
    <t>The value is less than the maximum dimension, so this pitch works.</t>
  </si>
  <si>
    <t>Check this value is &lt;22" ------&gt;</t>
  </si>
  <si>
    <t>V(B3)</t>
  </si>
  <si>
    <t>Raleigh's Results</t>
  </si>
  <si>
    <t>Dunkerly Calculations for n</t>
  </si>
  <si>
    <t>H(B4)</t>
  </si>
  <si>
    <t>Critical Speed</t>
  </si>
  <si>
    <t>Required Speed</t>
  </si>
  <si>
    <t>V(B4)</t>
  </si>
  <si>
    <t>Now we find Ft and Fr for both sets (1+2 and 3+4) of gears.</t>
  </si>
  <si>
    <t>H(B5)</t>
  </si>
  <si>
    <t>Ft (1-2)</t>
  </si>
  <si>
    <t>V(B5)</t>
  </si>
  <si>
    <t>Ft (3-4)</t>
  </si>
  <si>
    <t>H(B6)</t>
  </si>
  <si>
    <t>V(B6)</t>
  </si>
  <si>
    <t>Dunkerley's Results</t>
  </si>
  <si>
    <t>Dunkerly Calculations for 1/n^2</t>
  </si>
  <si>
    <t>Fr (1-2)</t>
  </si>
  <si>
    <t>Fr (3-4)</t>
  </si>
  <si>
    <t>Bearing Radial Forces*</t>
  </si>
  <si>
    <t>All of the critical speeds are much higher than the required levels, so the design is sound.</t>
  </si>
  <si>
    <t>B5</t>
  </si>
  <si>
    <t>B6</t>
  </si>
  <si>
    <t xml:space="preserve">Create the shaft torque diagrams for presentation purposes. </t>
  </si>
  <si>
    <t>*Caclulations shown on next few pages</t>
  </si>
  <si>
    <t>Find the circular pitch in order to determine the face width</t>
  </si>
  <si>
    <t>Shaft 1 Calculations:</t>
  </si>
  <si>
    <t>Shaft 1 Torque:</t>
  </si>
  <si>
    <t>lb-in.</t>
  </si>
  <si>
    <t>Circular Pitch (1,3)</t>
  </si>
  <si>
    <t>Shaft 2 Torque:</t>
  </si>
  <si>
    <t>Circular Pitch (2,4)</t>
  </si>
  <si>
    <t>Shaft 3 Torque:</t>
  </si>
  <si>
    <t>Find the face width, b</t>
  </si>
  <si>
    <t>Face Width Min</t>
  </si>
  <si>
    <t>Face Width Max</t>
  </si>
  <si>
    <t>Find P, Kv, Ko, Km, V, and J to determine the gear tooth bending stress</t>
  </si>
  <si>
    <t>From before:</t>
  </si>
  <si>
    <t>Shaft 1 Calculations (Continued):</t>
  </si>
  <si>
    <t>kr</t>
  </si>
  <si>
    <t>kt</t>
  </si>
  <si>
    <t>Shaft 2 Caclulations:</t>
  </si>
  <si>
    <t>Continuity Factors</t>
  </si>
  <si>
    <t xml:space="preserve">J(Gears) </t>
  </si>
  <si>
    <t>J(Pinions)</t>
  </si>
  <si>
    <t>Pitch Line Velocities</t>
  </si>
  <si>
    <t>Determine Pitch Line Velocities to help find Kv</t>
  </si>
  <si>
    <t>V (1-2)</t>
  </si>
  <si>
    <t>ft/min</t>
  </si>
  <si>
    <t>V (3-4)</t>
  </si>
  <si>
    <t>Shaft 3 Calculations:</t>
  </si>
  <si>
    <t>Velocity Factors</t>
  </si>
  <si>
    <t>Kv (1-2)</t>
  </si>
  <si>
    <t>Kv (3-4)</t>
  </si>
  <si>
    <t>Calculate radial forces at each bearing:</t>
  </si>
  <si>
    <t>We will also choose the overload correction factor based on the assumptions that we have a uniform power source and it operates under moderate shock</t>
  </si>
  <si>
    <t>Ko =</t>
  </si>
  <si>
    <t>Calculate the Effective Fatigue Stress on each gear. The calculations are done with both face widths to provide multiple outcomes of required material properties. This allows for more flexibility in the design choices.</t>
  </si>
  <si>
    <t>Effective Fatigue Stress Max (b minimum)</t>
  </si>
  <si>
    <t>Find the required rated capacity for each bearing in order to determine bearing size. There is no thrust force on the bearings, only radial forces.</t>
  </si>
  <si>
    <r>
      <t>σ</t>
    </r>
    <r>
      <rPr>
        <sz val="6.95"/>
        <color theme="1"/>
        <rFont val="Aptos Narrow"/>
        <family val="2"/>
      </rPr>
      <t xml:space="preserve"> (1)</t>
    </r>
  </si>
  <si>
    <t>psi</t>
  </si>
  <si>
    <t>Choose an application factor of Ka = 1.2 because the application involves gearing/light impact.</t>
  </si>
  <si>
    <r>
      <t>σ</t>
    </r>
    <r>
      <rPr>
        <sz val="6.95"/>
        <color theme="1"/>
        <rFont val="Aptos Narrow"/>
        <family val="2"/>
      </rPr>
      <t xml:space="preserve"> (2)</t>
    </r>
  </si>
  <si>
    <r>
      <t>σ</t>
    </r>
    <r>
      <rPr>
        <sz val="6.95"/>
        <color theme="1"/>
        <rFont val="Aptos Narrow"/>
        <family val="2"/>
      </rPr>
      <t xml:space="preserve"> (3)</t>
    </r>
  </si>
  <si>
    <r>
      <t>σ</t>
    </r>
    <r>
      <rPr>
        <sz val="6.95"/>
        <color theme="1"/>
        <rFont val="Aptos Narrow"/>
        <family val="2"/>
      </rPr>
      <t xml:space="preserve"> (4)</t>
    </r>
  </si>
  <si>
    <t>Ka</t>
  </si>
  <si>
    <t>Effective Fatigue Stress Min (b maximum)</t>
  </si>
  <si>
    <t>Assume a reliability factor Kr for 90% reliability.</t>
  </si>
  <si>
    <t>Convert forces to newtons in order to select bearings based on the charts in Fundamentals of Machine Component Design, 7th Ed., by Juvinall and Marshek.</t>
  </si>
  <si>
    <t>Radial Forces at Bearings</t>
  </si>
  <si>
    <t xml:space="preserve"> ========&gt;</t>
  </si>
  <si>
    <t>N</t>
  </si>
  <si>
    <t>Required Bearing Life (Given)</t>
  </si>
  <si>
    <t>hours</t>
  </si>
  <si>
    <t>Rated Capacity Life (Given)</t>
  </si>
  <si>
    <t>revs</t>
  </si>
  <si>
    <t>Determine the factors used to calculate the material ultimate strength: CL, CG, CS, kr, kt, and kms</t>
  </si>
  <si>
    <t>From before…</t>
  </si>
  <si>
    <t>Convert the required bearing life into revolutions for each shaft.</t>
  </si>
  <si>
    <t>Converted Bearing Lifetimes</t>
  </si>
  <si>
    <t>Shaft 1 Converted L</t>
  </si>
  <si>
    <t>Shaft 2 Converted L</t>
  </si>
  <si>
    <t>Shaft 3 Converted L</t>
  </si>
  <si>
    <t>CL =1 because this situation is a bending load.</t>
  </si>
  <si>
    <t>P=5, so CG = 0.85</t>
  </si>
  <si>
    <t>Required Bearing Capacities</t>
  </si>
  <si>
    <t>Find the required capacities of each bearing.</t>
  </si>
  <si>
    <t>NEW</t>
  </si>
  <si>
    <t>OLD</t>
  </si>
  <si>
    <t>Creq (B1)</t>
  </si>
  <si>
    <t>kN</t>
  </si>
  <si>
    <t xml:space="preserve">CL </t>
  </si>
  <si>
    <t>Creq (B2)</t>
  </si>
  <si>
    <t>CG</t>
  </si>
  <si>
    <t>Creq (B3)</t>
  </si>
  <si>
    <t>CS (temp)</t>
  </si>
  <si>
    <t>Creq (B4)</t>
  </si>
  <si>
    <t>Creq (B5)</t>
  </si>
  <si>
    <t>Creq (B6)</t>
  </si>
  <si>
    <t>A CS of 0.65 is chosen because it is at the middle of the range of possible CS values for the gears.</t>
  </si>
  <si>
    <t>Less</t>
  </si>
  <si>
    <t>More</t>
  </si>
  <si>
    <t xml:space="preserve">Consult Table 14.2 in Fundamentals of Machine Component Design, 7th Ed., by Juvinall and Marshek, to determine possible bearing selections across multiple series/types. </t>
  </si>
  <si>
    <t>Based on these calculations, all of the selected bearings are rechecked to make sure they will still work. Upon checking, they all do.</t>
  </si>
  <si>
    <t xml:space="preserve">Calculate the ultimate strengths required for the Safety Factor upper/lower limits and for the differing face widths. </t>
  </si>
  <si>
    <t>Use the selected bore diameters to size the shafts. For the stepped shaft, a step radius is chosen.</t>
  </si>
  <si>
    <t>Shaft Diameters</t>
  </si>
  <si>
    <t>d (S1)</t>
  </si>
  <si>
    <t>mm</t>
  </si>
  <si>
    <t>in.</t>
  </si>
  <si>
    <t>Ultimate Strength* Vs. Parameters</t>
  </si>
  <si>
    <t>d1 (S2)</t>
  </si>
  <si>
    <t>SF=2</t>
  </si>
  <si>
    <t>SF=3</t>
  </si>
  <si>
    <t>d2 (S2)</t>
  </si>
  <si>
    <t>b=b(min)</t>
  </si>
  <si>
    <t>d (S3)</t>
  </si>
  <si>
    <t>b=b(max)</t>
  </si>
  <si>
    <t>r (S2)</t>
  </si>
  <si>
    <t>*units of ksi</t>
  </si>
  <si>
    <t>Gear Mass Based on Cylindrical Volume Approximation</t>
  </si>
  <si>
    <t>Diameter (in.)</t>
  </si>
  <si>
    <t>Face Width (in.)</t>
  </si>
  <si>
    <t>Volume (in^3)</t>
  </si>
  <si>
    <t>Density (lb/in^3)</t>
  </si>
  <si>
    <t>Mass (lbm)</t>
  </si>
  <si>
    <t>Gravity (in/s^2)</t>
  </si>
  <si>
    <t>Weight Force (lbf)</t>
  </si>
  <si>
    <t>b(selected)</t>
  </si>
  <si>
    <t>Resultant Forces at Gear Locations (Y direction)</t>
  </si>
  <si>
    <t>Su (SF=2)</t>
  </si>
  <si>
    <t>Su (SF=3)</t>
  </si>
  <si>
    <t>Resultant Forces at Gear Locations (X direction)</t>
  </si>
  <si>
    <t>Use MatWeb.com to select a material that fits the Su limits.</t>
  </si>
  <si>
    <t>https://www.matweb.com/search/DataSheet.aspx?MatGUID=39e11302430d4e18bb59280448a1c972</t>
  </si>
  <si>
    <t>Generate shear and moment diagrams for the shafts using the standard equations for simply supported beams in order to determine the shear forces and bending moments at certain shaft locations.</t>
  </si>
  <si>
    <t>Using Matweb's material search feature, this brand of 18Ni (Grade 300) Maraging Steel was found. It has an ultimate tensile strength of 302 ksi, which is well within the required limits. Maraging steel is also commonly used in transmissions and is easy to harden, making it ideal for a gearbox application such as this.</t>
  </si>
  <si>
    <t>Diagram for Shaft 1 (X-dir)</t>
  </si>
  <si>
    <t>Midrange Value</t>
  </si>
  <si>
    <t>Ultimate Tensile Strength</t>
  </si>
  <si>
    <t>Material Rockwell C Hardness</t>
  </si>
  <si>
    <t>Diagram for Shaft 1 (X-dir), Shaft 3 (X-dir), and Shaft 3                            (Y-dir)</t>
  </si>
  <si>
    <t>Density</t>
  </si>
  <si>
    <t>Material Brinell Hardness (HB)</t>
  </si>
  <si>
    <t>Source for Rockwell C to Brinell Hardness Conversion Tables:</t>
  </si>
  <si>
    <t>https://www.steelexpress.co.uk/steel-hardness-conversion.html</t>
  </si>
  <si>
    <t>Find the true CS value and calculate the true safety factor by reworking the previous equations.</t>
  </si>
  <si>
    <t>Diagram for Shaft 2 (Y-dir)</t>
  </si>
  <si>
    <t>CS (True)</t>
  </si>
  <si>
    <t>True SF</t>
  </si>
  <si>
    <t>This is the lowest Safety factor out of all of the gears because this gear has the highest stress.</t>
  </si>
  <si>
    <t>Final Gear Specifications:</t>
  </si>
  <si>
    <t>Diagram for Shaft 2 (X-dir)</t>
  </si>
  <si>
    <t>Material</t>
  </si>
  <si>
    <t>Ultimate Tensile Strength (Sn)</t>
  </si>
  <si>
    <t>Rockwell C Hardness</t>
  </si>
  <si>
    <t>Brinell Hardness</t>
  </si>
  <si>
    <t xml:space="preserve">EOS 18Ni Grade 300 Maraging Steel </t>
  </si>
  <si>
    <t>Other Relevant Design Parameters</t>
  </si>
  <si>
    <t>Gear Dimensions</t>
  </si>
  <si>
    <t>Parameters</t>
  </si>
  <si>
    <t>Units</t>
  </si>
  <si>
    <t>CS</t>
  </si>
  <si>
    <t>Pitch (P)</t>
  </si>
  <si>
    <t>in.^-1</t>
  </si>
  <si>
    <t>CL</t>
  </si>
  <si>
    <t>Circular Pitch (p)</t>
  </si>
  <si>
    <t>Equations for Shaft 3 Diagrams</t>
  </si>
  <si>
    <t>Number of Teeth (N)</t>
  </si>
  <si>
    <t>teeth</t>
  </si>
  <si>
    <r>
      <t>Contact Angle (</t>
    </r>
    <r>
      <rPr>
        <sz val="11"/>
        <color theme="1"/>
        <rFont val="Aptos Narrow"/>
        <family val="2"/>
      </rPr>
      <t>Φ)</t>
    </r>
  </si>
  <si>
    <t>degrees</t>
  </si>
  <si>
    <t>Pitch Diameter (d)</t>
  </si>
  <si>
    <t>Contact Angle  (Φ) (rad)</t>
  </si>
  <si>
    <t>radians</t>
  </si>
  <si>
    <r>
      <t>Angular Speed (</t>
    </r>
    <r>
      <rPr>
        <sz val="11"/>
        <color theme="1"/>
        <rFont val="Aptos Narrow"/>
        <family val="2"/>
      </rPr>
      <t>ω</t>
    </r>
    <r>
      <rPr>
        <sz val="11"/>
        <color theme="1"/>
        <rFont val="Aptos Narrow"/>
        <family val="2"/>
        <scheme val="minor"/>
      </rPr>
      <t>)</t>
    </r>
  </si>
  <si>
    <t>Ft</t>
  </si>
  <si>
    <t>Gear Train Ratio (e)</t>
  </si>
  <si>
    <t>Fr</t>
  </si>
  <si>
    <t>Gear System Factor of Safety (SF)</t>
  </si>
  <si>
    <t>Pitch Line Velocity (V)</t>
  </si>
  <si>
    <t>Face Width (b)</t>
  </si>
  <si>
    <t>Pitch Line Velocity (V) (ft/s)</t>
  </si>
  <si>
    <t>ft/s</t>
  </si>
  <si>
    <t>Parameters for Shear and Bending Moment Caclulations</t>
  </si>
  <si>
    <t>F1 (lb, X)</t>
  </si>
  <si>
    <t>F1 (lb, Y)</t>
  </si>
  <si>
    <t>F2 (lb, X)</t>
  </si>
  <si>
    <t>F2 (lb, Y)</t>
  </si>
  <si>
    <t>a1 (in.)</t>
  </si>
  <si>
    <t>a2 (in.)</t>
  </si>
  <si>
    <t>L (in.)</t>
  </si>
  <si>
    <t>z @ step (in.)</t>
  </si>
  <si>
    <t>A</t>
  </si>
  <si>
    <t>Shear and Bending Moment Calculations</t>
  </si>
  <si>
    <t>Resultant Bending Moment/Shear</t>
  </si>
  <si>
    <t>V (lb, X)</t>
  </si>
  <si>
    <t>V (lb, Y)</t>
  </si>
  <si>
    <t>M(lb-in, X)</t>
  </si>
  <si>
    <t>M (lb-in, Y)</t>
  </si>
  <si>
    <t>V (lb)</t>
  </si>
  <si>
    <t>M (lb-in.)</t>
  </si>
  <si>
    <t>z (in.)</t>
  </si>
  <si>
    <t>at z = 0</t>
  </si>
  <si>
    <t>at z = (a1)/2</t>
  </si>
  <si>
    <t>I</t>
  </si>
  <si>
    <t>at z = a1</t>
  </si>
  <si>
    <t>x</t>
  </si>
  <si>
    <t>at z of step [or at z=a1+(l-a1)/2]</t>
  </si>
  <si>
    <t>at z = a2</t>
  </si>
  <si>
    <t>at z = a2 + (L-a2)/2</t>
  </si>
  <si>
    <t>at z = L</t>
  </si>
  <si>
    <t>Resultant Bending Stresses</t>
  </si>
  <si>
    <t>diameter (in.) @ z</t>
  </si>
  <si>
    <t>c (in.)</t>
  </si>
  <si>
    <t>I (in^4)</t>
  </si>
  <si>
    <r>
      <rPr>
        <sz val="11"/>
        <color theme="1"/>
        <rFont val="Aptos Narrow"/>
        <family val="2"/>
        <scheme val="minor"/>
      </rPr>
      <t>σ</t>
    </r>
    <r>
      <rPr>
        <sz val="9.35"/>
        <color theme="1"/>
        <rFont val="Aptos Narrow"/>
        <family val="2"/>
        <scheme val="minor"/>
      </rPr>
      <t xml:space="preserve"> (psi)</t>
    </r>
  </si>
  <si>
    <r>
      <t>σ</t>
    </r>
    <r>
      <rPr>
        <sz val="9.35"/>
        <color theme="1"/>
        <rFont val="Aptos Narrow"/>
        <family val="2"/>
        <scheme val="minor"/>
      </rPr>
      <t xml:space="preserve"> (ksi)</t>
    </r>
  </si>
  <si>
    <t>max stress</t>
  </si>
  <si>
    <t>(B/2)+D+(A/2)</t>
  </si>
  <si>
    <t>(B/2)+K+(I/2)</t>
  </si>
  <si>
    <t>Determine the range for the required shaft materials properties based on the minimum and maximum required safety factors and the previously calculated maximum shaft stresses. Have the shaft life be infinite (equivalent to the endurance limit)</t>
  </si>
  <si>
    <t>Factors for Shaft Material Determinations</t>
  </si>
  <si>
    <t>Reason</t>
  </si>
  <si>
    <t>Bending Stress</t>
  </si>
  <si>
    <t>Diameters all in 0.4in-2in. Range</t>
  </si>
  <si>
    <t>See graph below, mid. of range</t>
  </si>
  <si>
    <t>CT</t>
  </si>
  <si>
    <t>Room temperature</t>
  </si>
  <si>
    <t>CR</t>
  </si>
  <si>
    <t>99% reliability</t>
  </si>
  <si>
    <t>q</t>
  </si>
  <si>
    <t>See Graph on next page</t>
  </si>
  <si>
    <t>r/d Shaft 2</t>
  </si>
  <si>
    <t>D/d Shaft 2</t>
  </si>
  <si>
    <t>Kt (Shaft2)</t>
  </si>
  <si>
    <t>Kf (Shaft 2)</t>
  </si>
  <si>
    <t>Calculated as 1+q(Kt-1)=Kf</t>
  </si>
  <si>
    <t>CF (Shaft 2)</t>
  </si>
  <si>
    <t>Calculated as 1/Kf</t>
  </si>
  <si>
    <t>Shafts 1 and 3 do not have a CF because they are not stepped.</t>
  </si>
  <si>
    <t>Calculate the required Su range for the given SF range.</t>
  </si>
  <si>
    <t>Given SF Range</t>
  </si>
  <si>
    <t>Max SF</t>
  </si>
  <si>
    <t>Min SF</t>
  </si>
  <si>
    <t>Shaft Su Requirements</t>
  </si>
  <si>
    <t>Min Su (Min SF)</t>
  </si>
  <si>
    <t>Max Su (Max SF)</t>
  </si>
  <si>
    <t>Visit Matweb.com and select materials.</t>
  </si>
  <si>
    <t>Selected Material:</t>
  </si>
  <si>
    <t>AISI 4340 Steel</t>
  </si>
  <si>
    <t>Su</t>
  </si>
  <si>
    <t>https://www.matweb.com/search/DataSheet.aspx?MatGUID=898ac6f5b21e4c84a472742318cf1478&amp;ckck=1</t>
  </si>
  <si>
    <t>Now recalculate the different factors for caclulation based on the Su.</t>
  </si>
  <si>
    <t>Recalculated Factors for SF Calculations</t>
  </si>
  <si>
    <t>Did not change</t>
  </si>
  <si>
    <t>See Graph at left</t>
  </si>
  <si>
    <t>Based on the material selection, the safety factors of the shaft can be calculated.</t>
  </si>
  <si>
    <t xml:space="preserve">Bearing Possibilities </t>
  </si>
  <si>
    <t>Radial Ball, a=0</t>
  </si>
  <si>
    <t>Angular Ball, a=25 degrees</t>
  </si>
  <si>
    <t>Roller</t>
  </si>
  <si>
    <t>Shaft Safety Factors</t>
  </si>
  <si>
    <t>L Series</t>
  </si>
  <si>
    <t>200 Series</t>
  </si>
  <si>
    <t>300 Series</t>
  </si>
  <si>
    <t>1000 Series</t>
  </si>
  <si>
    <t>1200 Series</t>
  </si>
  <si>
    <t>1300 Seri</t>
  </si>
  <si>
    <t xml:space="preserve">Bearing 1 </t>
  </si>
  <si>
    <t xml:space="preserve">Creq = </t>
  </si>
  <si>
    <t>Lowest BBN</t>
  </si>
  <si>
    <t>C (kN)</t>
  </si>
  <si>
    <t>Bore</t>
  </si>
  <si>
    <t>All of the safety factors are in range.</t>
  </si>
  <si>
    <t>L07</t>
  </si>
  <si>
    <t>Determine the shaft life for each shaft</t>
  </si>
  <si>
    <t>L05</t>
  </si>
  <si>
    <t>SN = Maximum Stress in shaft</t>
  </si>
  <si>
    <t>L16</t>
  </si>
  <si>
    <t>Calculation Parameters</t>
  </si>
  <si>
    <t>SN (ksi)</t>
  </si>
  <si>
    <t>Sn (ksi)</t>
  </si>
  <si>
    <t>Sf (ksi)</t>
  </si>
  <si>
    <t>L11</t>
  </si>
  <si>
    <t>L10</t>
  </si>
  <si>
    <t>Shaft Life</t>
  </si>
  <si>
    <t>N (cycles)</t>
  </si>
  <si>
    <t>Shaft rpm</t>
  </si>
  <si>
    <t>Shaft Life (hrs)</t>
  </si>
  <si>
    <t>L09</t>
  </si>
  <si>
    <t>d1/2=d3/2=</t>
  </si>
  <si>
    <t>d2/2=d4/2=</t>
  </si>
  <si>
    <t>Choose input speed as 80 rpm</t>
  </si>
  <si>
    <t>Choose input speed as 81 rpm</t>
  </si>
  <si>
    <t>L18</t>
  </si>
  <si>
    <t xml:space="preserve">Selections were made to minimize shaft size, to attempt to reduce the number of stepped shafts, and to use as many of the same bearing type as possible. This was done to reduce cost and design complexity. By this design, Shaft 1 has a bore of 20 mm, Shaft 3 has a bore of 35 mm, and Shaft 2 has a stepped shaft, with one bore of 30 mm and the other of 40 mm. </t>
  </si>
  <si>
    <t>This has to be rounded to a whole number, so we round to 4.</t>
  </si>
  <si>
    <t>Based on the results of the analysis, a larger face width is desirable to make material selection easier. However, the face width is likely a round measurement, so the best face width selection would likely be 4". Recalculate the Su for b=4" and SF = 2 and 3 to determine the  limits for the material  properties.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</si>
</sst>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00"/>
    <numFmt numFmtId="166" formatCode="0.000"/>
    <numFmt numFmtId="167" formatCode="0.0E+00"/>
    <numFmt numFmtId="168" formatCode="0.0000"/>
    <numFmt numFmtId="169" formatCode="0E+00"/>
  </numFmts>
  <fonts count="10" x14ac:knownFonts="1">
    <font>
      <sz val="11"/>
      <color theme="1"/>
      <name val="Aptos Narrow"/>
      <family val="2"/>
      <scheme val="minor"/>
    </font>
    <font>
      <b/>
      <sz val="11"/>
      <color theme="1"/>
      <name val="Aptos Narrow"/>
      <family val="2"/>
      <scheme val="minor"/>
    </font>
    <font>
      <i/>
      <sz val="11"/>
      <color theme="1"/>
      <name val="Aptos Narrow"/>
      <family val="2"/>
      <scheme val="minor"/>
    </font>
    <font>
      <sz val="12"/>
      <color theme="1"/>
      <name val="Aptos"/>
      <family val="2"/>
    </font>
    <font>
      <sz val="11"/>
      <color theme="1"/>
      <name val="Aptos Narrow"/>
      <family val="2"/>
    </font>
    <font>
      <sz val="6.95"/>
      <color theme="1"/>
      <name val="Aptos Narrow"/>
      <family val="2"/>
    </font>
    <font>
      <sz val="9.5"/>
      <color theme="1"/>
      <name val="Aptos Narrow"/>
      <family val="2"/>
      <scheme val="minor"/>
    </font>
    <font>
      <b/>
      <i/>
      <sz val="11"/>
      <color theme="1"/>
      <name val="Aptos Narrow"/>
      <family val="2"/>
      <scheme val="minor"/>
    </font>
    <font>
      <sz val="9.35"/>
      <color theme="1"/>
      <name val="Aptos Narrow"/>
      <family val="2"/>
      <scheme val="minor"/>
    </font>
    <font>
      <sz val="10"/>
      <color theme="1"/>
      <name val="Aptos Narrow"/>
      <family val="2"/>
      <scheme val="minor"/>
    </font>
  </fonts>
  <fills count="10">
    <fill>
      <patternFill patternType="none"/>
    </fill>
    <fill>
      <patternFill patternType="gray125"/>
    </fill>
    <fill>
      <patternFill patternType="solid">
        <fgColor theme="9" tint="0.39997558519241921"/>
        <bgColor indexed="64"/>
      </patternFill>
    </fill>
    <fill>
      <patternFill patternType="solid">
        <fgColor theme="9" tint="0.79998168889431442"/>
        <bgColor indexed="64"/>
      </patternFill>
    </fill>
    <fill>
      <patternFill patternType="solid">
        <fgColor theme="0"/>
        <bgColor indexed="64"/>
      </patternFill>
    </fill>
    <fill>
      <patternFill patternType="solid">
        <fgColor theme="1"/>
        <bgColor indexed="64"/>
      </patternFill>
    </fill>
    <fill>
      <patternFill patternType="solid">
        <fgColor theme="0" tint="-0.249977111117893"/>
        <bgColor indexed="64"/>
      </patternFill>
    </fill>
    <fill>
      <patternFill patternType="solid">
        <fgColor theme="9" tint="0.59999389629810485"/>
        <bgColor indexed="64"/>
      </patternFill>
    </fill>
    <fill>
      <patternFill patternType="solid">
        <fgColor theme="5" tint="0.79998168889431442"/>
        <bgColor indexed="64"/>
      </patternFill>
    </fill>
    <fill>
      <patternFill patternType="solid">
        <fgColor theme="5" tint="0.59999389629810485"/>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style="thin">
        <color indexed="64"/>
      </left>
      <right style="thin">
        <color indexed="64"/>
      </right>
      <top style="thin">
        <color indexed="64"/>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diagonal/>
    </border>
    <border>
      <left style="thin">
        <color indexed="64"/>
      </left>
      <right style="thin">
        <color indexed="64"/>
      </right>
      <top/>
      <bottom/>
      <diagonal/>
    </border>
  </borders>
  <cellStyleXfs count="1">
    <xf numFmtId="0" fontId="0" fillId="0" borderId="0"/>
  </cellStyleXfs>
  <cellXfs count="107">
    <xf numFmtId="0" fontId="0" fillId="0" borderId="0" xfId="0"/>
    <xf numFmtId="0" fontId="1" fillId="0" borderId="0" xfId="0" applyFont="1"/>
    <xf numFmtId="0" fontId="2" fillId="0" borderId="1" xfId="0" applyFont="1" applyBorder="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0" xfId="0" applyAlignment="1">
      <alignment horizontal="center"/>
    </xf>
    <xf numFmtId="0" fontId="0" fillId="0" borderId="0" xfId="0" applyAlignment="1">
      <alignment horizontal="left" indent="12"/>
    </xf>
    <xf numFmtId="0" fontId="0" fillId="0" borderId="8" xfId="0" applyBorder="1"/>
    <xf numFmtId="0" fontId="0" fillId="0" borderId="1" xfId="0" applyBorder="1" applyAlignment="1">
      <alignment horizontal="center"/>
    </xf>
    <xf numFmtId="0" fontId="0" fillId="0" borderId="0" xfId="0" applyAlignment="1">
      <alignment horizontal="center" vertical="center"/>
    </xf>
    <xf numFmtId="0" fontId="0" fillId="3" borderId="1" xfId="0" applyFill="1" applyBorder="1"/>
    <xf numFmtId="164" fontId="0" fillId="3" borderId="1" xfId="0" applyNumberFormat="1" applyFill="1" applyBorder="1"/>
    <xf numFmtId="0" fontId="0" fillId="4" borderId="1" xfId="0" applyFill="1" applyBorder="1"/>
    <xf numFmtId="0" fontId="0" fillId="0" borderId="9" xfId="0" applyBorder="1"/>
    <xf numFmtId="0" fontId="2" fillId="0" borderId="0" xfId="0" applyFont="1"/>
    <xf numFmtId="165" fontId="0" fillId="0" borderId="1" xfId="0" applyNumberFormat="1" applyBorder="1"/>
    <xf numFmtId="166" fontId="0" fillId="0" borderId="1" xfId="0" applyNumberFormat="1" applyBorder="1"/>
    <xf numFmtId="0" fontId="0" fillId="5" borderId="1" xfId="0" applyFill="1" applyBorder="1"/>
    <xf numFmtId="0" fontId="6" fillId="0" borderId="0" xfId="0" applyFont="1"/>
    <xf numFmtId="0" fontId="0" fillId="0" borderId="10" xfId="0" applyBorder="1"/>
    <xf numFmtId="2" fontId="0" fillId="0" borderId="1" xfId="0" applyNumberFormat="1" applyBorder="1"/>
    <xf numFmtId="0" fontId="3" fillId="0" borderId="0" xfId="0" applyFont="1" applyAlignment="1">
      <alignment vertical="center"/>
    </xf>
    <xf numFmtId="167" fontId="0" fillId="0" borderId="1" xfId="0" applyNumberFormat="1" applyBorder="1"/>
    <xf numFmtId="0" fontId="0" fillId="0" borderId="13" xfId="0" applyBorder="1"/>
    <xf numFmtId="0" fontId="0" fillId="0" borderId="14" xfId="0" applyBorder="1"/>
    <xf numFmtId="0" fontId="0" fillId="0" borderId="16" xfId="0" applyBorder="1"/>
    <xf numFmtId="0" fontId="0" fillId="0" borderId="15" xfId="0" applyBorder="1"/>
    <xf numFmtId="0" fontId="0" fillId="0" borderId="18" xfId="0" applyBorder="1"/>
    <xf numFmtId="0" fontId="0" fillId="0" borderId="19" xfId="0" applyBorder="1"/>
    <xf numFmtId="0" fontId="0" fillId="0" borderId="23" xfId="0" applyBorder="1" applyAlignment="1">
      <alignment wrapText="1"/>
    </xf>
    <xf numFmtId="0" fontId="0" fillId="0" borderId="24" xfId="0" applyBorder="1" applyAlignment="1">
      <alignment wrapText="1"/>
    </xf>
    <xf numFmtId="0" fontId="1" fillId="0" borderId="12" xfId="0" applyFont="1" applyBorder="1"/>
    <xf numFmtId="0" fontId="0" fillId="0" borderId="17" xfId="0" applyBorder="1"/>
    <xf numFmtId="0" fontId="1" fillId="0" borderId="25" xfId="0" applyFont="1" applyBorder="1"/>
    <xf numFmtId="0" fontId="0" fillId="0" borderId="23" xfId="0" applyBorder="1"/>
    <xf numFmtId="0" fontId="1" fillId="0" borderId="13" xfId="0" applyFont="1" applyBorder="1"/>
    <xf numFmtId="0" fontId="0" fillId="6" borderId="11" xfId="0" applyFill="1" applyBorder="1" applyAlignment="1">
      <alignment horizontal="center"/>
    </xf>
    <xf numFmtId="0" fontId="0" fillId="6" borderId="21" xfId="0" applyFill="1" applyBorder="1"/>
    <xf numFmtId="2" fontId="0" fillId="6" borderId="21" xfId="0" applyNumberFormat="1" applyFill="1" applyBorder="1" applyAlignment="1">
      <alignment horizontal="center"/>
    </xf>
    <xf numFmtId="0" fontId="0" fillId="6" borderId="20" xfId="0" applyFill="1" applyBorder="1"/>
    <xf numFmtId="0" fontId="0" fillId="6" borderId="22" xfId="0" applyFill="1" applyBorder="1"/>
    <xf numFmtId="0" fontId="0" fillId="6" borderId="21" xfId="0" applyFill="1" applyBorder="1" applyAlignment="1">
      <alignment wrapText="1"/>
    </xf>
    <xf numFmtId="0" fontId="2" fillId="0" borderId="23" xfId="0" applyFont="1" applyBorder="1" applyAlignment="1">
      <alignment horizontal="left" wrapText="1"/>
    </xf>
    <xf numFmtId="0" fontId="2" fillId="0" borderId="0" xfId="0" applyFont="1" applyAlignment="1">
      <alignment horizontal="left"/>
    </xf>
    <xf numFmtId="0" fontId="2" fillId="0" borderId="16" xfId="0" applyFont="1" applyBorder="1" applyAlignment="1">
      <alignment horizontal="left"/>
    </xf>
    <xf numFmtId="0" fontId="2" fillId="0" borderId="15" xfId="0" applyFont="1" applyBorder="1" applyAlignment="1">
      <alignment horizontal="center"/>
    </xf>
    <xf numFmtId="0" fontId="2" fillId="7" borderId="0" xfId="0" applyFont="1" applyFill="1" applyAlignment="1">
      <alignment horizontal="left"/>
    </xf>
    <xf numFmtId="0" fontId="0" fillId="7" borderId="0" xfId="0" applyFill="1"/>
    <xf numFmtId="0" fontId="0" fillId="7" borderId="18" xfId="0" applyFill="1" applyBorder="1"/>
    <xf numFmtId="0" fontId="1" fillId="0" borderId="1" xfId="0" applyFont="1" applyBorder="1"/>
    <xf numFmtId="168" fontId="0" fillId="0" borderId="1" xfId="0" applyNumberFormat="1" applyBorder="1"/>
    <xf numFmtId="166" fontId="0" fillId="7" borderId="1" xfId="0" applyNumberFormat="1" applyFill="1" applyBorder="1"/>
    <xf numFmtId="0" fontId="0" fillId="8" borderId="0" xfId="0" applyFill="1"/>
    <xf numFmtId="2" fontId="0" fillId="8" borderId="1" xfId="0" applyNumberFormat="1" applyFill="1" applyBorder="1"/>
    <xf numFmtId="2" fontId="0" fillId="7" borderId="1" xfId="0" applyNumberFormat="1" applyFill="1" applyBorder="1"/>
    <xf numFmtId="0" fontId="0" fillId="0" borderId="1" xfId="0" applyBorder="1" applyAlignment="1">
      <alignment wrapText="1"/>
    </xf>
    <xf numFmtId="0" fontId="0" fillId="0" borderId="1" xfId="0" applyBorder="1" applyAlignment="1">
      <alignment horizontal="right"/>
    </xf>
    <xf numFmtId="0" fontId="0" fillId="6" borderId="1" xfId="0" applyFill="1" applyBorder="1"/>
    <xf numFmtId="0" fontId="7" fillId="6" borderId="1" xfId="0" applyFont="1" applyFill="1" applyBorder="1" applyAlignment="1">
      <alignment horizontal="center"/>
    </xf>
    <xf numFmtId="0" fontId="0" fillId="2" borderId="1" xfId="0" applyFill="1" applyBorder="1"/>
    <xf numFmtId="0" fontId="0" fillId="0" borderId="0" xfId="0" applyAlignment="1">
      <alignment wrapText="1"/>
    </xf>
    <xf numFmtId="166" fontId="0" fillId="6" borderId="1" xfId="0" applyNumberFormat="1" applyFill="1" applyBorder="1"/>
    <xf numFmtId="166" fontId="0" fillId="5" borderId="1" xfId="0" applyNumberFormat="1" applyFill="1" applyBorder="1"/>
    <xf numFmtId="0" fontId="0" fillId="9" borderId="1" xfId="0" applyFill="1" applyBorder="1"/>
    <xf numFmtId="0" fontId="0" fillId="9" borderId="0" xfId="0" applyFill="1"/>
    <xf numFmtId="0" fontId="0" fillId="0" borderId="26" xfId="0" applyBorder="1"/>
    <xf numFmtId="0" fontId="1" fillId="0" borderId="0" xfId="0" applyFont="1" applyAlignment="1">
      <alignment horizontal="left"/>
    </xf>
    <xf numFmtId="0" fontId="0" fillId="0" borderId="1" xfId="0" applyBorder="1" applyAlignment="1">
      <alignment horizontal="left"/>
    </xf>
    <xf numFmtId="2" fontId="0" fillId="0" borderId="1" xfId="0" applyNumberFormat="1" applyBorder="1" applyAlignment="1">
      <alignment horizontal="right"/>
    </xf>
    <xf numFmtId="166" fontId="0" fillId="0" borderId="1" xfId="0" applyNumberFormat="1" applyBorder="1" applyAlignment="1">
      <alignment horizontal="right"/>
    </xf>
    <xf numFmtId="11" fontId="0" fillId="0" borderId="1" xfId="0" applyNumberFormat="1" applyBorder="1"/>
    <xf numFmtId="0" fontId="9" fillId="0" borderId="0" xfId="0" applyFont="1"/>
    <xf numFmtId="0" fontId="9" fillId="0" borderId="1" xfId="0" applyFont="1" applyBorder="1"/>
    <xf numFmtId="169" fontId="0" fillId="0" borderId="1" xfId="0" applyNumberFormat="1" applyBorder="1"/>
    <xf numFmtId="0" fontId="1" fillId="0" borderId="1" xfId="0" applyFont="1" applyBorder="1" applyAlignment="1">
      <alignment horizontal="right"/>
    </xf>
    <xf numFmtId="0" fontId="1" fillId="0" borderId="0" xfId="0" applyFont="1" applyAlignment="1">
      <alignment horizontal="right"/>
    </xf>
    <xf numFmtId="169" fontId="0" fillId="5" borderId="1" xfId="0" applyNumberFormat="1" applyFill="1" applyBorder="1"/>
    <xf numFmtId="0" fontId="2" fillId="7" borderId="16" xfId="0" applyFont="1" applyFill="1" applyBorder="1" applyAlignment="1">
      <alignment horizontal="left"/>
    </xf>
    <xf numFmtId="0" fontId="0" fillId="7" borderId="16" xfId="0" applyFill="1" applyBorder="1"/>
    <xf numFmtId="0" fontId="2" fillId="4" borderId="0" xfId="0" applyFont="1" applyFill="1" applyAlignment="1">
      <alignment horizontal="left"/>
    </xf>
    <xf numFmtId="0" fontId="0" fillId="4" borderId="0" xfId="0" applyFill="1"/>
    <xf numFmtId="0" fontId="0" fillId="0" borderId="1" xfId="0" applyBorder="1" applyAlignment="1">
      <alignment horizontal="center" wrapText="1"/>
    </xf>
    <xf numFmtId="0" fontId="0" fillId="0" borderId="1" xfId="0" applyBorder="1" applyAlignment="1">
      <alignment horizontal="center" vertical="center"/>
    </xf>
    <xf numFmtId="0" fontId="4" fillId="0" borderId="1" xfId="0" applyFont="1" applyBorder="1" applyAlignment="1">
      <alignment horizontal="center" vertical="center"/>
    </xf>
    <xf numFmtId="0" fontId="1" fillId="0" borderId="0" xfId="0" applyFont="1" applyAlignment="1">
      <alignment horizontal="center" vertical="center"/>
    </xf>
    <xf numFmtId="0" fontId="0" fillId="0" borderId="0" xfId="0" applyAlignment="1">
      <alignment horizontal="center" vertical="top" wrapText="1"/>
    </xf>
    <xf numFmtId="0" fontId="0" fillId="0" borderId="1" xfId="0" applyBorder="1" applyAlignment="1">
      <alignment horizontal="center"/>
    </xf>
    <xf numFmtId="0" fontId="0" fillId="0" borderId="0" xfId="0" applyAlignment="1">
      <alignment horizontal="left" wrapText="1"/>
    </xf>
    <xf numFmtId="0" fontId="1" fillId="0" borderId="0" xfId="0" applyFont="1" applyAlignment="1">
      <alignment horizontal="center"/>
    </xf>
    <xf numFmtId="0" fontId="0" fillId="0" borderId="0" xfId="0" applyAlignment="1">
      <alignment horizontal="center" wrapText="1"/>
    </xf>
    <xf numFmtId="0" fontId="0" fillId="0" borderId="7" xfId="0" applyBorder="1" applyAlignment="1">
      <alignment horizontal="center"/>
    </xf>
    <xf numFmtId="0" fontId="0" fillId="0" borderId="8" xfId="0" applyBorder="1" applyAlignment="1">
      <alignment horizontal="center"/>
    </xf>
    <xf numFmtId="0" fontId="0" fillId="0" borderId="2" xfId="0" applyBorder="1" applyAlignment="1">
      <alignment horizontal="center"/>
    </xf>
    <xf numFmtId="0" fontId="0" fillId="0" borderId="0" xfId="0"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1" xfId="0" applyBorder="1"/>
    <xf numFmtId="0" fontId="0" fillId="0" borderId="0" xfId="0"/>
    <xf numFmtId="0" fontId="0" fillId="0" borderId="1" xfId="0" applyBorder="1" applyAlignment="1">
      <alignment horizontal="right"/>
    </xf>
    <xf numFmtId="0" fontId="0" fillId="5" borderId="1" xfId="0" applyFill="1" applyBorder="1" applyAlignment="1">
      <alignment horizontal="right"/>
    </xf>
    <xf numFmtId="0" fontId="0" fillId="0" borderId="0" xfId="0" applyAlignment="1">
      <alignment horizontal="right"/>
    </xf>
    <xf numFmtId="0" fontId="0" fillId="0" borderId="0" xfId="0" applyAlignment="1">
      <alignment horizontal="left" vertical="top"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styles" Target="styles.xml"/><Relationship Id="rId7" Type="http://schemas.openxmlformats.org/officeDocument/2006/relationships/calcChain" Target="calcChain.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17/10/relationships/person" Target="persons/person.xml"/><Relationship Id="rId5" Type="http://schemas.openxmlformats.org/officeDocument/2006/relationships/sheetMetadata" Target="metadata.xml"/><Relationship Id="rId10" Type="http://schemas.openxmlformats.org/officeDocument/2006/relationships/customXml" Target="../customXml/item3.xml"/><Relationship Id="rId4" Type="http://schemas.openxmlformats.org/officeDocument/2006/relationships/sharedStrings" Target="sharedStrings.xml"/><Relationship Id="rId9"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170" Type="http://schemas.openxmlformats.org/officeDocument/2006/relationships/image" Target="../media/image170.png"/><Relationship Id="rId191" Type="http://schemas.openxmlformats.org/officeDocument/2006/relationships/image" Target="../media/image191.png"/><Relationship Id="rId205" Type="http://schemas.openxmlformats.org/officeDocument/2006/relationships/image" Target="../media/image205.png"/><Relationship Id="rId226" Type="http://schemas.openxmlformats.org/officeDocument/2006/relationships/image" Target="../media/image226.png"/><Relationship Id="rId247" Type="http://schemas.openxmlformats.org/officeDocument/2006/relationships/image" Target="../media/image247.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53" Type="http://schemas.openxmlformats.org/officeDocument/2006/relationships/image" Target="../media/image53.png"/><Relationship Id="rId74" Type="http://schemas.openxmlformats.org/officeDocument/2006/relationships/image" Target="../media/image74.png"/><Relationship Id="rId128" Type="http://schemas.openxmlformats.org/officeDocument/2006/relationships/image" Target="../media/image128.png"/><Relationship Id="rId149" Type="http://schemas.openxmlformats.org/officeDocument/2006/relationships/image" Target="../media/image149.png"/><Relationship Id="rId5" Type="http://schemas.openxmlformats.org/officeDocument/2006/relationships/image" Target="../media/image5.png"/><Relationship Id="rId95" Type="http://schemas.openxmlformats.org/officeDocument/2006/relationships/image" Target="../media/image95.png"/><Relationship Id="rId160" Type="http://schemas.openxmlformats.org/officeDocument/2006/relationships/image" Target="../media/image160.png"/><Relationship Id="rId181" Type="http://schemas.openxmlformats.org/officeDocument/2006/relationships/image" Target="../media/image181.png"/><Relationship Id="rId216" Type="http://schemas.openxmlformats.org/officeDocument/2006/relationships/image" Target="../media/image216.png"/><Relationship Id="rId237" Type="http://schemas.openxmlformats.org/officeDocument/2006/relationships/image" Target="../media/image237.png"/><Relationship Id="rId258" Type="http://schemas.openxmlformats.org/officeDocument/2006/relationships/image" Target="../media/image258.png"/><Relationship Id="rId22" Type="http://schemas.openxmlformats.org/officeDocument/2006/relationships/image" Target="../media/image22.png"/><Relationship Id="rId43" Type="http://schemas.openxmlformats.org/officeDocument/2006/relationships/image" Target="../media/image43.png"/><Relationship Id="rId64" Type="http://schemas.openxmlformats.org/officeDocument/2006/relationships/image" Target="../media/image64.png"/><Relationship Id="rId118" Type="http://schemas.openxmlformats.org/officeDocument/2006/relationships/image" Target="../media/image118.png"/><Relationship Id="rId139" Type="http://schemas.openxmlformats.org/officeDocument/2006/relationships/image" Target="../media/image139.png"/><Relationship Id="rId85" Type="http://schemas.openxmlformats.org/officeDocument/2006/relationships/image" Target="../media/image85.png"/><Relationship Id="rId150" Type="http://schemas.openxmlformats.org/officeDocument/2006/relationships/image" Target="../media/image150.png"/><Relationship Id="rId171" Type="http://schemas.openxmlformats.org/officeDocument/2006/relationships/image" Target="../media/image171.png"/><Relationship Id="rId192" Type="http://schemas.openxmlformats.org/officeDocument/2006/relationships/image" Target="../media/image192.png"/><Relationship Id="rId206" Type="http://schemas.openxmlformats.org/officeDocument/2006/relationships/image" Target="../media/image206.png"/><Relationship Id="rId227" Type="http://schemas.openxmlformats.org/officeDocument/2006/relationships/image" Target="../media/image227.png"/><Relationship Id="rId248" Type="http://schemas.openxmlformats.org/officeDocument/2006/relationships/image" Target="../media/image248.png"/><Relationship Id="rId12" Type="http://schemas.openxmlformats.org/officeDocument/2006/relationships/image" Target="../media/image12.png"/><Relationship Id="rId33" Type="http://schemas.openxmlformats.org/officeDocument/2006/relationships/image" Target="../media/image33.png"/><Relationship Id="rId108" Type="http://schemas.openxmlformats.org/officeDocument/2006/relationships/image" Target="../media/image108.png"/><Relationship Id="rId129" Type="http://schemas.openxmlformats.org/officeDocument/2006/relationships/image" Target="../media/image129.png"/><Relationship Id="rId54" Type="http://schemas.openxmlformats.org/officeDocument/2006/relationships/image" Target="../media/image54.png"/><Relationship Id="rId75" Type="http://schemas.openxmlformats.org/officeDocument/2006/relationships/image" Target="../media/image75.png"/><Relationship Id="rId96" Type="http://schemas.openxmlformats.org/officeDocument/2006/relationships/image" Target="../media/image96.png"/><Relationship Id="rId140" Type="http://schemas.openxmlformats.org/officeDocument/2006/relationships/image" Target="../media/image140.png"/><Relationship Id="rId161" Type="http://schemas.openxmlformats.org/officeDocument/2006/relationships/image" Target="../media/image161.png"/><Relationship Id="rId182" Type="http://schemas.openxmlformats.org/officeDocument/2006/relationships/image" Target="../media/image182.png"/><Relationship Id="rId217" Type="http://schemas.openxmlformats.org/officeDocument/2006/relationships/image" Target="../media/image217.png"/><Relationship Id="rId6" Type="http://schemas.openxmlformats.org/officeDocument/2006/relationships/image" Target="../media/image6.png"/><Relationship Id="rId238" Type="http://schemas.openxmlformats.org/officeDocument/2006/relationships/image" Target="../media/image238.png"/><Relationship Id="rId259" Type="http://schemas.openxmlformats.org/officeDocument/2006/relationships/image" Target="../media/image259.png"/><Relationship Id="rId23" Type="http://schemas.openxmlformats.org/officeDocument/2006/relationships/image" Target="../media/image23.png"/><Relationship Id="rId119" Type="http://schemas.openxmlformats.org/officeDocument/2006/relationships/image" Target="../media/image119.png"/><Relationship Id="rId44" Type="http://schemas.openxmlformats.org/officeDocument/2006/relationships/image" Target="../media/image44.png"/><Relationship Id="rId65" Type="http://schemas.openxmlformats.org/officeDocument/2006/relationships/image" Target="../media/image65.png"/><Relationship Id="rId86" Type="http://schemas.openxmlformats.org/officeDocument/2006/relationships/image" Target="../media/image86.png"/><Relationship Id="rId130" Type="http://schemas.openxmlformats.org/officeDocument/2006/relationships/image" Target="../media/image130.png"/><Relationship Id="rId151" Type="http://schemas.openxmlformats.org/officeDocument/2006/relationships/image" Target="../media/image151.png"/><Relationship Id="rId172" Type="http://schemas.openxmlformats.org/officeDocument/2006/relationships/image" Target="../media/image172.png"/><Relationship Id="rId193" Type="http://schemas.openxmlformats.org/officeDocument/2006/relationships/image" Target="../media/image193.png"/><Relationship Id="rId207" Type="http://schemas.openxmlformats.org/officeDocument/2006/relationships/image" Target="../media/image207.png"/><Relationship Id="rId228" Type="http://schemas.openxmlformats.org/officeDocument/2006/relationships/image" Target="../media/image228.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png"/><Relationship Id="rId34" Type="http://schemas.openxmlformats.org/officeDocument/2006/relationships/image" Target="../media/image34.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20" Type="http://schemas.openxmlformats.org/officeDocument/2006/relationships/image" Target="../media/image120.png"/><Relationship Id="rId141" Type="http://schemas.openxmlformats.org/officeDocument/2006/relationships/image" Target="../media/image141.png"/><Relationship Id="rId7" Type="http://schemas.openxmlformats.org/officeDocument/2006/relationships/image" Target="../media/image7.png"/><Relationship Id="rId162" Type="http://schemas.openxmlformats.org/officeDocument/2006/relationships/image" Target="../media/image162.png"/><Relationship Id="rId183" Type="http://schemas.openxmlformats.org/officeDocument/2006/relationships/image" Target="../media/image183.png"/><Relationship Id="rId218" Type="http://schemas.openxmlformats.org/officeDocument/2006/relationships/image" Target="../media/image218.png"/><Relationship Id="rId239" Type="http://schemas.openxmlformats.org/officeDocument/2006/relationships/image" Target="../media/image239.png"/><Relationship Id="rId250" Type="http://schemas.openxmlformats.org/officeDocument/2006/relationships/image" Target="../media/image250.png"/><Relationship Id="rId24" Type="http://schemas.openxmlformats.org/officeDocument/2006/relationships/image" Target="../media/image24.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31" Type="http://schemas.openxmlformats.org/officeDocument/2006/relationships/image" Target="../media/image131.png"/><Relationship Id="rId152" Type="http://schemas.openxmlformats.org/officeDocument/2006/relationships/image" Target="../media/image152.png"/><Relationship Id="rId173" Type="http://schemas.openxmlformats.org/officeDocument/2006/relationships/image" Target="../media/image173.png"/><Relationship Id="rId194" Type="http://schemas.openxmlformats.org/officeDocument/2006/relationships/image" Target="../media/image194.png"/><Relationship Id="rId208" Type="http://schemas.openxmlformats.org/officeDocument/2006/relationships/image" Target="../media/image208.png"/><Relationship Id="rId229" Type="http://schemas.openxmlformats.org/officeDocument/2006/relationships/image" Target="../media/image229.png"/><Relationship Id="rId240" Type="http://schemas.openxmlformats.org/officeDocument/2006/relationships/image" Target="../media/image240.png"/><Relationship Id="rId261" Type="http://schemas.openxmlformats.org/officeDocument/2006/relationships/image" Target="../media/image261.png"/><Relationship Id="rId14" Type="http://schemas.openxmlformats.org/officeDocument/2006/relationships/image" Target="../media/image14.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8" Type="http://schemas.openxmlformats.org/officeDocument/2006/relationships/image" Target="../media/image8.pn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184" Type="http://schemas.openxmlformats.org/officeDocument/2006/relationships/image" Target="../media/image184.png"/><Relationship Id="rId219" Type="http://schemas.openxmlformats.org/officeDocument/2006/relationships/image" Target="../media/image219.png"/><Relationship Id="rId230" Type="http://schemas.openxmlformats.org/officeDocument/2006/relationships/image" Target="../media/image230.png"/><Relationship Id="rId251" Type="http://schemas.openxmlformats.org/officeDocument/2006/relationships/image" Target="../media/image251.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png"/><Relationship Id="rId153" Type="http://schemas.openxmlformats.org/officeDocument/2006/relationships/image" Target="../media/image153.png"/><Relationship Id="rId174" Type="http://schemas.openxmlformats.org/officeDocument/2006/relationships/image" Target="../media/image174.png"/><Relationship Id="rId195" Type="http://schemas.openxmlformats.org/officeDocument/2006/relationships/image" Target="../media/image195.png"/><Relationship Id="rId209" Type="http://schemas.openxmlformats.org/officeDocument/2006/relationships/image" Target="../media/image209.png"/><Relationship Id="rId220" Type="http://schemas.openxmlformats.org/officeDocument/2006/relationships/image" Target="../media/image220.png"/><Relationship Id="rId241" Type="http://schemas.openxmlformats.org/officeDocument/2006/relationships/image" Target="../media/image24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78" Type="http://schemas.openxmlformats.org/officeDocument/2006/relationships/image" Target="../media/image78.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43" Type="http://schemas.openxmlformats.org/officeDocument/2006/relationships/image" Target="../media/image143.png"/><Relationship Id="rId164" Type="http://schemas.openxmlformats.org/officeDocument/2006/relationships/image" Target="../media/image164.png"/><Relationship Id="rId185" Type="http://schemas.openxmlformats.org/officeDocument/2006/relationships/image" Target="../media/image185.png"/><Relationship Id="rId9" Type="http://schemas.openxmlformats.org/officeDocument/2006/relationships/image" Target="../media/image9.png"/><Relationship Id="rId210" Type="http://schemas.openxmlformats.org/officeDocument/2006/relationships/image" Target="../media/image210.png"/><Relationship Id="rId26" Type="http://schemas.openxmlformats.org/officeDocument/2006/relationships/image" Target="../media/image26.png"/><Relationship Id="rId231" Type="http://schemas.openxmlformats.org/officeDocument/2006/relationships/image" Target="../media/image231.png"/><Relationship Id="rId252" Type="http://schemas.openxmlformats.org/officeDocument/2006/relationships/image" Target="../media/image252.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png"/><Relationship Id="rId154" Type="http://schemas.openxmlformats.org/officeDocument/2006/relationships/image" Target="../media/image154.png"/><Relationship Id="rId175" Type="http://schemas.openxmlformats.org/officeDocument/2006/relationships/image" Target="../media/image175.png"/><Relationship Id="rId196" Type="http://schemas.openxmlformats.org/officeDocument/2006/relationships/image" Target="../media/image196.png"/><Relationship Id="rId200" Type="http://schemas.openxmlformats.org/officeDocument/2006/relationships/image" Target="../media/image200.png"/><Relationship Id="rId16" Type="http://schemas.openxmlformats.org/officeDocument/2006/relationships/image" Target="../media/image16.png"/><Relationship Id="rId221" Type="http://schemas.openxmlformats.org/officeDocument/2006/relationships/image" Target="../media/image221.png"/><Relationship Id="rId242" Type="http://schemas.openxmlformats.org/officeDocument/2006/relationships/image" Target="../media/image242.pn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44" Type="http://schemas.openxmlformats.org/officeDocument/2006/relationships/image" Target="../media/image144.png"/><Relationship Id="rId90" Type="http://schemas.openxmlformats.org/officeDocument/2006/relationships/image" Target="../media/image90.png"/><Relationship Id="rId165" Type="http://schemas.openxmlformats.org/officeDocument/2006/relationships/image" Target="../media/image165.png"/><Relationship Id="rId186" Type="http://schemas.openxmlformats.org/officeDocument/2006/relationships/image" Target="../media/image186.png"/><Relationship Id="rId211" Type="http://schemas.openxmlformats.org/officeDocument/2006/relationships/image" Target="../media/image211.png"/><Relationship Id="rId232" Type="http://schemas.openxmlformats.org/officeDocument/2006/relationships/image" Target="../media/image232.png"/><Relationship Id="rId253" Type="http://schemas.openxmlformats.org/officeDocument/2006/relationships/image" Target="../media/image253.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201" Type="http://schemas.openxmlformats.org/officeDocument/2006/relationships/image" Target="../media/image201.png"/><Relationship Id="rId222" Type="http://schemas.openxmlformats.org/officeDocument/2006/relationships/image" Target="../media/image222.png"/><Relationship Id="rId243" Type="http://schemas.openxmlformats.org/officeDocument/2006/relationships/image" Target="../media/image243.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54" Type="http://schemas.openxmlformats.org/officeDocument/2006/relationships/image" Target="../media/image254.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png"/><Relationship Id="rId29" Type="http://schemas.openxmlformats.org/officeDocument/2006/relationships/image" Target="../media/image29.png"/><Relationship Id="rId255" Type="http://schemas.openxmlformats.org/officeDocument/2006/relationships/image" Target="../media/image255.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19" Type="http://schemas.openxmlformats.org/officeDocument/2006/relationships/image" Target="../media/image19.png"/><Relationship Id="rId224" Type="http://schemas.openxmlformats.org/officeDocument/2006/relationships/image" Target="../media/image224.png"/><Relationship Id="rId245" Type="http://schemas.openxmlformats.org/officeDocument/2006/relationships/image" Target="../media/image245.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256" Type="http://schemas.openxmlformats.org/officeDocument/2006/relationships/image" Target="../media/image256.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190" Type="http://schemas.openxmlformats.org/officeDocument/2006/relationships/image" Target="../media/image190.png"/><Relationship Id="rId204" Type="http://schemas.openxmlformats.org/officeDocument/2006/relationships/image" Target="../media/image204.png"/><Relationship Id="rId225" Type="http://schemas.openxmlformats.org/officeDocument/2006/relationships/image" Target="../media/image225.png"/><Relationship Id="rId246" Type="http://schemas.openxmlformats.org/officeDocument/2006/relationships/image" Target="../media/image246.png"/><Relationship Id="rId106" Type="http://schemas.openxmlformats.org/officeDocument/2006/relationships/image" Target="../media/image106.emf"/><Relationship Id="rId127" Type="http://schemas.openxmlformats.org/officeDocument/2006/relationships/image" Target="../media/image127.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4" Type="http://schemas.openxmlformats.org/officeDocument/2006/relationships/image" Target="../media/image4.png"/><Relationship Id="rId180" Type="http://schemas.openxmlformats.org/officeDocument/2006/relationships/image" Target="../media/image180.png"/><Relationship Id="rId215" Type="http://schemas.openxmlformats.org/officeDocument/2006/relationships/image" Target="../media/image215.png"/><Relationship Id="rId236" Type="http://schemas.openxmlformats.org/officeDocument/2006/relationships/image" Target="../media/image236.png"/><Relationship Id="rId257" Type="http://schemas.openxmlformats.org/officeDocument/2006/relationships/image" Target="../media/image257.png"/><Relationship Id="rId42" Type="http://schemas.openxmlformats.org/officeDocument/2006/relationships/image" Target="../media/image42.png"/><Relationship Id="rId84" Type="http://schemas.openxmlformats.org/officeDocument/2006/relationships/image" Target="../media/image84.png"/><Relationship Id="rId138" Type="http://schemas.openxmlformats.org/officeDocument/2006/relationships/image" Target="../media/image138.png"/></Relationships>
</file>

<file path=xl/drawings/drawing1.xml><?xml version="1.0" encoding="utf-8"?>
<xdr:wsDr xmlns:xdr="http://schemas.openxmlformats.org/drawingml/2006/spreadsheetDrawing" xmlns:a="http://schemas.openxmlformats.org/drawingml/2006/main">
  <xdr:twoCellAnchor>
    <xdr:from>
      <xdr:col>0</xdr:col>
      <xdr:colOff>0</xdr:colOff>
      <xdr:row>21</xdr:row>
      <xdr:rowOff>0</xdr:rowOff>
    </xdr:from>
    <xdr:to>
      <xdr:col>2</xdr:col>
      <xdr:colOff>99060</xdr:colOff>
      <xdr:row>23</xdr:row>
      <xdr:rowOff>45720</xdr:rowOff>
    </xdr:to>
    <xdr:pic>
      <xdr:nvPicPr>
        <xdr:cNvPr id="7" name="Picture 6">
          <a:extLst>
            <a:ext uri="{FF2B5EF4-FFF2-40B4-BE49-F238E27FC236}">
              <a16:creationId xmlns:a16="http://schemas.microsoft.com/office/drawing/2014/main" id="{00000000-0008-0000-0000-000007000000}"/>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4000500"/>
          <a:ext cx="2850727" cy="426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235857</xdr:colOff>
      <xdr:row>20</xdr:row>
      <xdr:rowOff>99787</xdr:rowOff>
    </xdr:from>
    <xdr:to>
      <xdr:col>4</xdr:col>
      <xdr:colOff>1074057</xdr:colOff>
      <xdr:row>22</xdr:row>
      <xdr:rowOff>137886</xdr:rowOff>
    </xdr:to>
    <xdr:pic>
      <xdr:nvPicPr>
        <xdr:cNvPr id="8" name="Picture 7">
          <a:extLst>
            <a:ext uri="{FF2B5EF4-FFF2-40B4-BE49-F238E27FC236}">
              <a16:creationId xmlns:a16="http://schemas.microsoft.com/office/drawing/2014/main" id="{00000000-0008-0000-0000-000008000000}"/>
            </a:ext>
          </a:extLst>
        </xdr:cNvPr>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4209143" y="3728358"/>
          <a:ext cx="838200" cy="400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24</xdr:row>
      <xdr:rowOff>0</xdr:rowOff>
    </xdr:from>
    <xdr:to>
      <xdr:col>0</xdr:col>
      <xdr:colOff>1249680</xdr:colOff>
      <xdr:row>26</xdr:row>
      <xdr:rowOff>76200</xdr:rowOff>
    </xdr:to>
    <xdr:pic>
      <xdr:nvPicPr>
        <xdr:cNvPr id="9" name="Picture 8">
          <a:extLst>
            <a:ext uri="{FF2B5EF4-FFF2-40B4-BE49-F238E27FC236}">
              <a16:creationId xmlns:a16="http://schemas.microsoft.com/office/drawing/2014/main" id="{00000000-0008-0000-0000-000009000000}"/>
            </a:ext>
          </a:extLst>
        </xdr:cNvPr>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4206240"/>
          <a:ext cx="124968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35</xdr:row>
      <xdr:rowOff>0</xdr:rowOff>
    </xdr:from>
    <xdr:to>
      <xdr:col>4</xdr:col>
      <xdr:colOff>670560</xdr:colOff>
      <xdr:row>39</xdr:row>
      <xdr:rowOff>60959</xdr:rowOff>
    </xdr:to>
    <xdr:pic>
      <xdr:nvPicPr>
        <xdr:cNvPr id="15" name="Picture 14">
          <a:extLst>
            <a:ext uri="{FF2B5EF4-FFF2-40B4-BE49-F238E27FC236}">
              <a16:creationId xmlns:a16="http://schemas.microsoft.com/office/drawing/2014/main" id="{00000000-0008-0000-0000-00000F000000}"/>
            </a:ext>
          </a:extLst>
        </xdr:cNvPr>
        <xdr:cNvPicPr>
          <a:picLocks noChangeAspect="1" noChangeArrowheads="1"/>
        </xdr:cNvPicPr>
      </xdr:nvPicPr>
      <xdr:blipFill>
        <a:blip xmlns:r="http://schemas.openxmlformats.org/officeDocument/2006/relationships" r:embed="rId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6168571"/>
          <a:ext cx="4698274" cy="78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36</xdr:row>
      <xdr:rowOff>0</xdr:rowOff>
    </xdr:from>
    <xdr:to>
      <xdr:col>5</xdr:col>
      <xdr:colOff>541020</xdr:colOff>
      <xdr:row>37</xdr:row>
      <xdr:rowOff>30480</xdr:rowOff>
    </xdr:to>
    <xdr:pic>
      <xdr:nvPicPr>
        <xdr:cNvPr id="16" name="Picture 15">
          <a:extLst>
            <a:ext uri="{FF2B5EF4-FFF2-40B4-BE49-F238E27FC236}">
              <a16:creationId xmlns:a16="http://schemas.microsoft.com/office/drawing/2014/main" id="{00000000-0008-0000-0000-000010000000}"/>
            </a:ext>
          </a:extLst>
        </xdr:cNvPr>
        <xdr:cNvPicPr>
          <a:picLocks noChangeAspect="1" noChangeArrowheads="1"/>
        </xdr:cNvPicPr>
      </xdr:nvPicPr>
      <xdr:blipFill>
        <a:blip xmlns:r="http://schemas.openxmlformats.org/officeDocument/2006/relationships" r:embed="rId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5890260" y="6400800"/>
          <a:ext cx="541020" cy="213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47</xdr:row>
      <xdr:rowOff>0</xdr:rowOff>
    </xdr:from>
    <xdr:to>
      <xdr:col>3</xdr:col>
      <xdr:colOff>403860</xdr:colOff>
      <xdr:row>49</xdr:row>
      <xdr:rowOff>38100</xdr:rowOff>
    </xdr:to>
    <xdr:pic>
      <xdr:nvPicPr>
        <xdr:cNvPr id="27" name="Pictur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03120" y="8412480"/>
          <a:ext cx="1684020"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782411</xdr:colOff>
      <xdr:row>67</xdr:row>
      <xdr:rowOff>34019</xdr:rowOff>
    </xdr:from>
    <xdr:to>
      <xdr:col>3</xdr:col>
      <xdr:colOff>238987</xdr:colOff>
      <xdr:row>69</xdr:row>
      <xdr:rowOff>79739</xdr:rowOff>
    </xdr:to>
    <xdr:pic>
      <xdr:nvPicPr>
        <xdr:cNvPr id="30" name="Picture 29">
          <a:extLst>
            <a:ext uri="{FF2B5EF4-FFF2-40B4-BE49-F238E27FC236}">
              <a16:creationId xmlns:a16="http://schemas.microsoft.com/office/drawing/2014/main" id="{00000000-0008-0000-0000-00001E000000}"/>
            </a:ext>
            <a:ext uri="{147F2762-F138-4A5C-976F-8EAC2B608ADB}">
              <a16:predDERef xmlns:a16="http://schemas.microsoft.com/office/drawing/2014/main" pred="{00000000-0008-0000-0000-00001C000000}"/>
            </a:ext>
          </a:extLst>
        </xdr:cNvPr>
        <xdr:cNvPicPr>
          <a:picLocks noChangeAspect="1" noChangeArrowheads="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782411" y="12189733"/>
          <a:ext cx="2801665" cy="40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0</xdr:colOff>
      <xdr:row>57</xdr:row>
      <xdr:rowOff>0</xdr:rowOff>
    </xdr:from>
    <xdr:to>
      <xdr:col>4</xdr:col>
      <xdr:colOff>838200</xdr:colOff>
      <xdr:row>59</xdr:row>
      <xdr:rowOff>38100</xdr:rowOff>
    </xdr:to>
    <xdr:pic>
      <xdr:nvPicPr>
        <xdr:cNvPr id="31" name="Picture 30">
          <a:extLst>
            <a:ext uri="{FF2B5EF4-FFF2-40B4-BE49-F238E27FC236}">
              <a16:creationId xmlns:a16="http://schemas.microsoft.com/office/drawing/2014/main" id="{00000000-0008-0000-0000-00001F000000}"/>
            </a:ext>
          </a:extLst>
        </xdr:cNvPr>
        <xdr:cNvPicPr>
          <a:picLocks noChangeAspect="1" noChangeArrowheads="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4027714" y="3628571"/>
          <a:ext cx="838200" cy="4009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427038</xdr:colOff>
      <xdr:row>66</xdr:row>
      <xdr:rowOff>176212</xdr:rowOff>
    </xdr:from>
    <xdr:to>
      <xdr:col>4</xdr:col>
      <xdr:colOff>1774462</xdr:colOff>
      <xdr:row>69</xdr:row>
      <xdr:rowOff>70985</xdr:rowOff>
    </xdr:to>
    <xdr:pic>
      <xdr:nvPicPr>
        <xdr:cNvPr id="32" name="Picture 31">
          <a:extLst>
            <a:ext uri="{FF2B5EF4-FFF2-40B4-BE49-F238E27FC236}">
              <a16:creationId xmlns:a16="http://schemas.microsoft.com/office/drawing/2014/main" id="{00000000-0008-0000-0000-000020000000}"/>
            </a:ext>
            <a:ext uri="{147F2762-F138-4A5C-976F-8EAC2B608ADB}">
              <a16:predDERef xmlns:a16="http://schemas.microsoft.com/office/drawing/2014/main" pred="{00000000-0008-0000-0000-00001F000000}"/>
            </a:ext>
          </a:extLst>
        </xdr:cNvPr>
        <xdr:cNvPicPr>
          <a:picLocks noChangeAspect="1" noChangeArrowheads="1"/>
        </xdr:cNvPicPr>
      </xdr:nvPicPr>
      <xdr:blipFill>
        <a:blip xmlns:r="http://schemas.openxmlformats.org/officeDocument/2006/relationships" r:embed="rId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4401458" y="12150498"/>
          <a:ext cx="1347424" cy="4390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71</xdr:row>
      <xdr:rowOff>0</xdr:rowOff>
    </xdr:from>
    <xdr:to>
      <xdr:col>4</xdr:col>
      <xdr:colOff>670560</xdr:colOff>
      <xdr:row>75</xdr:row>
      <xdr:rowOff>60959</xdr:rowOff>
    </xdr:to>
    <xdr:pic>
      <xdr:nvPicPr>
        <xdr:cNvPr id="35" name="Picture 34">
          <a:extLst>
            <a:ext uri="{FF2B5EF4-FFF2-40B4-BE49-F238E27FC236}">
              <a16:creationId xmlns:a16="http://schemas.microsoft.com/office/drawing/2014/main" id="{00000000-0008-0000-0000-000023000000}"/>
            </a:ext>
          </a:extLst>
        </xdr:cNvPr>
        <xdr:cNvPicPr>
          <a:picLocks noChangeAspect="1" noChangeArrowheads="1"/>
        </xdr:cNvPicPr>
      </xdr:nvPicPr>
      <xdr:blipFill>
        <a:blip xmlns:r="http://schemas.openxmlformats.org/officeDocument/2006/relationships" r:embed="rId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6168571"/>
          <a:ext cx="4698274" cy="786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72</xdr:row>
      <xdr:rowOff>0</xdr:rowOff>
    </xdr:from>
    <xdr:to>
      <xdr:col>5</xdr:col>
      <xdr:colOff>541020</xdr:colOff>
      <xdr:row>73</xdr:row>
      <xdr:rowOff>30480</xdr:rowOff>
    </xdr:to>
    <xdr:pic>
      <xdr:nvPicPr>
        <xdr:cNvPr id="36" name="Picture 35">
          <a:extLst>
            <a:ext uri="{FF2B5EF4-FFF2-40B4-BE49-F238E27FC236}">
              <a16:creationId xmlns:a16="http://schemas.microsoft.com/office/drawing/2014/main" id="{00000000-0008-0000-0000-000024000000}"/>
            </a:ext>
          </a:extLst>
        </xdr:cNvPr>
        <xdr:cNvPicPr>
          <a:picLocks noChangeAspect="1" noChangeArrowheads="1"/>
        </xdr:cNvPicPr>
      </xdr:nvPicPr>
      <xdr:blipFill>
        <a:blip xmlns:r="http://schemas.openxmlformats.org/officeDocument/2006/relationships" r:embed="rId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5890381" y="6350000"/>
          <a:ext cx="541020" cy="2119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83</xdr:row>
      <xdr:rowOff>0</xdr:rowOff>
    </xdr:from>
    <xdr:to>
      <xdr:col>0</xdr:col>
      <xdr:colOff>1668780</xdr:colOff>
      <xdr:row>84</xdr:row>
      <xdr:rowOff>45720</xdr:rowOff>
    </xdr:to>
    <xdr:pic>
      <xdr:nvPicPr>
        <xdr:cNvPr id="40" name="Pictur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8345714"/>
          <a:ext cx="1668780" cy="2271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10583</xdr:colOff>
      <xdr:row>84</xdr:row>
      <xdr:rowOff>0</xdr:rowOff>
    </xdr:from>
    <xdr:to>
      <xdr:col>0</xdr:col>
      <xdr:colOff>1679363</xdr:colOff>
      <xdr:row>85</xdr:row>
      <xdr:rowOff>45720</xdr:rowOff>
    </xdr:to>
    <xdr:pic>
      <xdr:nvPicPr>
        <xdr:cNvPr id="41" name="Picture 40">
          <a:extLst>
            <a:ext uri="{FF2B5EF4-FFF2-40B4-BE49-F238E27FC236}">
              <a16:creationId xmlns:a16="http://schemas.microsoft.com/office/drawing/2014/main" id="{00000000-0008-0000-0000-000029000000}"/>
            </a:ext>
          </a:extLst>
        </xdr:cNvPr>
        <xdr:cNvPicPr>
          <a:picLocks noChangeAspect="1" noChangeArrowheads="1"/>
        </xdr:cNvPicPr>
      </xdr:nvPicPr>
      <xdr:blipFill>
        <a:blip xmlns:r="http://schemas.openxmlformats.org/officeDocument/2006/relationships" r:embed="rId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0583" y="16002000"/>
          <a:ext cx="1668780" cy="2362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83</xdr:row>
      <xdr:rowOff>0</xdr:rowOff>
    </xdr:from>
    <xdr:to>
      <xdr:col>3</xdr:col>
      <xdr:colOff>403860</xdr:colOff>
      <xdr:row>85</xdr:row>
      <xdr:rowOff>38100</xdr:rowOff>
    </xdr:to>
    <xdr:pic>
      <xdr:nvPicPr>
        <xdr:cNvPr id="42" name="Picture 41">
          <a:extLst>
            <a:ext uri="{FF2B5EF4-FFF2-40B4-BE49-F238E27FC236}">
              <a16:creationId xmlns:a16="http://schemas.microsoft.com/office/drawing/2014/main" id="{00000000-0008-0000-0000-00002A000000}"/>
            </a:ext>
          </a:extLst>
        </xdr:cNvPr>
        <xdr:cNvPicPr>
          <a:picLocks noChangeAspect="1" noChangeArrowheads="1"/>
        </xdr:cNvPicPr>
      </xdr:nvPicPr>
      <xdr:blipFill>
        <a:blip xmlns:r="http://schemas.openxmlformats.org/officeDocument/2006/relationships" r:embed="rId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04571" y="8345714"/>
          <a:ext cx="1685956" cy="400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0</xdr:colOff>
      <xdr:row>83</xdr:row>
      <xdr:rowOff>0</xdr:rowOff>
    </xdr:from>
    <xdr:to>
      <xdr:col>9</xdr:col>
      <xdr:colOff>419100</xdr:colOff>
      <xdr:row>85</xdr:row>
      <xdr:rowOff>38100</xdr:rowOff>
    </xdr:to>
    <xdr:pic>
      <xdr:nvPicPr>
        <xdr:cNvPr id="43" name="Picture 42">
          <a:extLst>
            <a:ext uri="{FF2B5EF4-FFF2-40B4-BE49-F238E27FC236}">
              <a16:creationId xmlns:a16="http://schemas.microsoft.com/office/drawing/2014/main" id="{00000000-0008-0000-0000-00002B000000}"/>
            </a:ext>
          </a:extLst>
        </xdr:cNvPr>
        <xdr:cNvPicPr>
          <a:picLocks noChangeAspect="1" noChangeArrowheads="1"/>
        </xdr:cNvPicPr>
      </xdr:nvPicPr>
      <xdr:blipFill>
        <a:blip xmlns:r="http://schemas.openxmlformats.org/officeDocument/2006/relationships" r:embed="rId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4027714" y="8345714"/>
          <a:ext cx="4918529" cy="400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101</xdr:row>
      <xdr:rowOff>0</xdr:rowOff>
    </xdr:from>
    <xdr:to>
      <xdr:col>1</xdr:col>
      <xdr:colOff>289560</xdr:colOff>
      <xdr:row>103</xdr:row>
      <xdr:rowOff>7620</xdr:rowOff>
    </xdr:to>
    <xdr:pic>
      <xdr:nvPicPr>
        <xdr:cNvPr id="57" name="Picture 56">
          <a:extLst>
            <a:ext uri="{FF2B5EF4-FFF2-40B4-BE49-F238E27FC236}">
              <a16:creationId xmlns:a16="http://schemas.microsoft.com/office/drawing/2014/main" id="{00000000-0008-0000-0000-000039000000}"/>
            </a:ext>
          </a:extLst>
        </xdr:cNvPr>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18288000"/>
          <a:ext cx="239268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122</xdr:row>
      <xdr:rowOff>0</xdr:rowOff>
    </xdr:from>
    <xdr:to>
      <xdr:col>1</xdr:col>
      <xdr:colOff>45720</xdr:colOff>
      <xdr:row>124</xdr:row>
      <xdr:rowOff>38100</xdr:rowOff>
    </xdr:to>
    <xdr:pic>
      <xdr:nvPicPr>
        <xdr:cNvPr id="2" name="Picture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22128480"/>
          <a:ext cx="2148840"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122</xdr:row>
      <xdr:rowOff>0</xdr:rowOff>
    </xdr:from>
    <xdr:to>
      <xdr:col>4</xdr:col>
      <xdr:colOff>952500</xdr:colOff>
      <xdr:row>124</xdr:row>
      <xdr:rowOff>38100</xdr:rowOff>
    </xdr:to>
    <xdr:pic>
      <xdr:nvPicPr>
        <xdr:cNvPr id="3" name="Picture 2">
          <a:extLst>
            <a:ext uri="{FF2B5EF4-FFF2-40B4-BE49-F238E27FC236}">
              <a16:creationId xmlns:a16="http://schemas.microsoft.com/office/drawing/2014/main" id="{00000000-0008-0000-0000-000003000000}"/>
            </a:ext>
          </a:extLst>
        </xdr:cNvPr>
        <xdr:cNvPicPr>
          <a:picLocks noChangeAspect="1" noChangeArrowheads="1"/>
        </xdr:cNvPicPr>
      </xdr:nvPicPr>
      <xdr:blipFill>
        <a:blip xmlns:r="http://schemas.openxmlformats.org/officeDocument/2006/relationships" r:embed="rId1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743200" y="22128480"/>
          <a:ext cx="2232660"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36286</xdr:colOff>
      <xdr:row>134</xdr:row>
      <xdr:rowOff>72571</xdr:rowOff>
    </xdr:from>
    <xdr:to>
      <xdr:col>5</xdr:col>
      <xdr:colOff>372970</xdr:colOff>
      <xdr:row>154</xdr:row>
      <xdr:rowOff>145142</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3"/>
        <a:stretch>
          <a:fillRect/>
        </a:stretch>
      </xdr:blipFill>
      <xdr:spPr>
        <a:xfrm>
          <a:off x="36286" y="24384000"/>
          <a:ext cx="6227065" cy="3701142"/>
        </a:xfrm>
        <a:prstGeom prst="rect">
          <a:avLst/>
        </a:prstGeom>
      </xdr:spPr>
    </xdr:pic>
    <xdr:clientData/>
  </xdr:twoCellAnchor>
  <xdr:twoCellAnchor editAs="oneCell">
    <xdr:from>
      <xdr:col>0</xdr:col>
      <xdr:colOff>36285</xdr:colOff>
      <xdr:row>165</xdr:row>
      <xdr:rowOff>33858</xdr:rowOff>
    </xdr:from>
    <xdr:to>
      <xdr:col>3</xdr:col>
      <xdr:colOff>495904</xdr:colOff>
      <xdr:row>183</xdr:row>
      <xdr:rowOff>45890</xdr:rowOff>
    </xdr:to>
    <xdr:pic>
      <xdr:nvPicPr>
        <xdr:cNvPr id="18" name="Pictur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4"/>
        <a:stretch>
          <a:fillRect/>
        </a:stretch>
      </xdr:blipFill>
      <xdr:spPr>
        <a:xfrm>
          <a:off x="36285" y="29969572"/>
          <a:ext cx="3846286" cy="3277747"/>
        </a:xfrm>
        <a:prstGeom prst="rect">
          <a:avLst/>
        </a:prstGeom>
      </xdr:spPr>
    </xdr:pic>
    <xdr:clientData/>
  </xdr:twoCellAnchor>
  <xdr:twoCellAnchor editAs="oneCell">
    <xdr:from>
      <xdr:col>0</xdr:col>
      <xdr:colOff>991806</xdr:colOff>
      <xdr:row>188</xdr:row>
      <xdr:rowOff>36283</xdr:rowOff>
    </xdr:from>
    <xdr:to>
      <xdr:col>3</xdr:col>
      <xdr:colOff>508611</xdr:colOff>
      <xdr:row>195</xdr:row>
      <xdr:rowOff>84657</xdr:rowOff>
    </xdr:to>
    <xdr:pic>
      <xdr:nvPicPr>
        <xdr:cNvPr id="20" name="Picture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5"/>
        <a:stretch>
          <a:fillRect/>
        </a:stretch>
      </xdr:blipFill>
      <xdr:spPr>
        <a:xfrm>
          <a:off x="5019520" y="31423426"/>
          <a:ext cx="2903472" cy="1318374"/>
        </a:xfrm>
        <a:prstGeom prst="rect">
          <a:avLst/>
        </a:prstGeom>
      </xdr:spPr>
    </xdr:pic>
    <xdr:clientData/>
  </xdr:twoCellAnchor>
  <xdr:twoCellAnchor editAs="oneCell">
    <xdr:from>
      <xdr:col>0</xdr:col>
      <xdr:colOff>0</xdr:colOff>
      <xdr:row>232</xdr:row>
      <xdr:rowOff>0</xdr:rowOff>
    </xdr:from>
    <xdr:to>
      <xdr:col>5</xdr:col>
      <xdr:colOff>53219</xdr:colOff>
      <xdr:row>235</xdr:row>
      <xdr:rowOff>25945</xdr:rowOff>
    </xdr:to>
    <xdr:pic>
      <xdr:nvPicPr>
        <xdr:cNvPr id="54" name="Picture 53">
          <a:extLst>
            <a:ext uri="{FF2B5EF4-FFF2-40B4-BE49-F238E27FC236}">
              <a16:creationId xmlns:a16="http://schemas.microsoft.com/office/drawing/2014/main" id="{00000000-0008-0000-0000-000036000000}"/>
            </a:ext>
          </a:extLst>
        </xdr:cNvPr>
        <xdr:cNvPicPr>
          <a:picLocks noChangeAspect="1"/>
        </xdr:cNvPicPr>
      </xdr:nvPicPr>
      <xdr:blipFill rotWithShape="1">
        <a:blip xmlns:r="http://schemas.openxmlformats.org/officeDocument/2006/relationships" r:embed="rId16"/>
        <a:srcRect t="21090"/>
        <a:stretch/>
      </xdr:blipFill>
      <xdr:spPr bwMode="auto">
        <a:xfrm>
          <a:off x="0" y="42091429"/>
          <a:ext cx="5943600" cy="57023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0</xdr:col>
      <xdr:colOff>0</xdr:colOff>
      <xdr:row>239</xdr:row>
      <xdr:rowOff>0</xdr:rowOff>
    </xdr:from>
    <xdr:to>
      <xdr:col>4</xdr:col>
      <xdr:colOff>1573471</xdr:colOff>
      <xdr:row>261</xdr:row>
      <xdr:rowOff>123729</xdr:rowOff>
    </xdr:to>
    <xdr:pic>
      <xdr:nvPicPr>
        <xdr:cNvPr id="56" name="Picture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17"/>
        <a:stretch>
          <a:fillRect/>
        </a:stretch>
      </xdr:blipFill>
      <xdr:spPr>
        <a:xfrm>
          <a:off x="0" y="43361429"/>
          <a:ext cx="5601185" cy="4115157"/>
        </a:xfrm>
        <a:prstGeom prst="rect">
          <a:avLst/>
        </a:prstGeom>
      </xdr:spPr>
    </xdr:pic>
    <xdr:clientData/>
  </xdr:twoCellAnchor>
  <xdr:twoCellAnchor>
    <xdr:from>
      <xdr:col>0</xdr:col>
      <xdr:colOff>0</xdr:colOff>
      <xdr:row>265</xdr:row>
      <xdr:rowOff>0</xdr:rowOff>
    </xdr:from>
    <xdr:to>
      <xdr:col>1</xdr:col>
      <xdr:colOff>99060</xdr:colOff>
      <xdr:row>267</xdr:row>
      <xdr:rowOff>7620</xdr:rowOff>
    </xdr:to>
    <xdr:pic>
      <xdr:nvPicPr>
        <xdr:cNvPr id="59" name="Picture 58">
          <a:extLst>
            <a:ext uri="{FF2B5EF4-FFF2-40B4-BE49-F238E27FC236}">
              <a16:creationId xmlns:a16="http://schemas.microsoft.com/office/drawing/2014/main" id="{00000000-0008-0000-0000-00003B000000}"/>
            </a:ext>
          </a:extLst>
        </xdr:cNvPr>
        <xdr:cNvPicPr>
          <a:picLocks noChangeAspect="1" noChangeArrowheads="1"/>
        </xdr:cNvPicPr>
      </xdr:nvPicPr>
      <xdr:blipFill>
        <a:blip xmlns:r="http://schemas.openxmlformats.org/officeDocument/2006/relationships" r:embed="rId1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48463200"/>
          <a:ext cx="220218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297</xdr:row>
      <xdr:rowOff>181427</xdr:rowOff>
    </xdr:from>
    <xdr:to>
      <xdr:col>9</xdr:col>
      <xdr:colOff>501842</xdr:colOff>
      <xdr:row>322</xdr:row>
      <xdr:rowOff>72570</xdr:rowOff>
    </xdr:to>
    <xdr:pic>
      <xdr:nvPicPr>
        <xdr:cNvPr id="75" name="Picture 74" descr="A screenshot of a computer&#10;&#10;Description automatically generated">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9"/>
        <a:stretch>
          <a:fillRect/>
        </a:stretch>
      </xdr:blipFill>
      <xdr:spPr>
        <a:xfrm>
          <a:off x="0" y="54065713"/>
          <a:ext cx="9077366" cy="4426857"/>
        </a:xfrm>
        <a:prstGeom prst="rect">
          <a:avLst/>
        </a:prstGeom>
      </xdr:spPr>
    </xdr:pic>
    <xdr:clientData/>
  </xdr:twoCellAnchor>
  <xdr:twoCellAnchor editAs="oneCell">
    <xdr:from>
      <xdr:col>0</xdr:col>
      <xdr:colOff>0</xdr:colOff>
      <xdr:row>331</xdr:row>
      <xdr:rowOff>0</xdr:rowOff>
    </xdr:from>
    <xdr:to>
      <xdr:col>5</xdr:col>
      <xdr:colOff>1326</xdr:colOff>
      <xdr:row>352</xdr:row>
      <xdr:rowOff>76537</xdr:rowOff>
    </xdr:to>
    <xdr:pic>
      <xdr:nvPicPr>
        <xdr:cNvPr id="76" name="Picture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20"/>
        <a:stretch>
          <a:fillRect/>
        </a:stretch>
      </xdr:blipFill>
      <xdr:spPr>
        <a:xfrm>
          <a:off x="0" y="60052857"/>
          <a:ext cx="5875529" cy="3886537"/>
        </a:xfrm>
        <a:prstGeom prst="rect">
          <a:avLst/>
        </a:prstGeom>
      </xdr:spPr>
    </xdr:pic>
    <xdr:clientData/>
  </xdr:twoCellAnchor>
  <xdr:twoCellAnchor editAs="oneCell">
    <xdr:from>
      <xdr:col>0</xdr:col>
      <xdr:colOff>0</xdr:colOff>
      <xdr:row>396</xdr:row>
      <xdr:rowOff>181428</xdr:rowOff>
    </xdr:from>
    <xdr:to>
      <xdr:col>6</xdr:col>
      <xdr:colOff>2136</xdr:colOff>
      <xdr:row>425</xdr:row>
      <xdr:rowOff>84666</xdr:rowOff>
    </xdr:to>
    <xdr:pic>
      <xdr:nvPicPr>
        <xdr:cNvPr id="85" name="Picture 84">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21"/>
        <a:stretch>
          <a:fillRect/>
        </a:stretch>
      </xdr:blipFill>
      <xdr:spPr>
        <a:xfrm>
          <a:off x="0" y="72027142"/>
          <a:ext cx="6495767" cy="5164667"/>
        </a:xfrm>
        <a:prstGeom prst="rect">
          <a:avLst/>
        </a:prstGeom>
      </xdr:spPr>
    </xdr:pic>
    <xdr:clientData/>
  </xdr:twoCellAnchor>
  <xdr:twoCellAnchor editAs="oneCell">
    <xdr:from>
      <xdr:col>0</xdr:col>
      <xdr:colOff>12096</xdr:colOff>
      <xdr:row>440</xdr:row>
      <xdr:rowOff>169333</xdr:rowOff>
    </xdr:from>
    <xdr:to>
      <xdr:col>3</xdr:col>
      <xdr:colOff>500704</xdr:colOff>
      <xdr:row>455</xdr:row>
      <xdr:rowOff>71788</xdr:rowOff>
    </xdr:to>
    <xdr:pic>
      <xdr:nvPicPr>
        <xdr:cNvPr id="87" name="Picture 86">
          <a:extLst>
            <a:ext uri="{FF2B5EF4-FFF2-40B4-BE49-F238E27FC236}">
              <a16:creationId xmlns:a16="http://schemas.microsoft.com/office/drawing/2014/main" id="{00000000-0008-0000-0000-000057000000}"/>
            </a:ext>
          </a:extLst>
        </xdr:cNvPr>
        <xdr:cNvPicPr>
          <a:picLocks noChangeAspect="1"/>
        </xdr:cNvPicPr>
      </xdr:nvPicPr>
      <xdr:blipFill>
        <a:blip xmlns:r="http://schemas.openxmlformats.org/officeDocument/2006/relationships" r:embed="rId22"/>
        <a:stretch>
          <a:fillRect/>
        </a:stretch>
      </xdr:blipFill>
      <xdr:spPr>
        <a:xfrm>
          <a:off x="12096" y="79997904"/>
          <a:ext cx="3875275" cy="2623884"/>
        </a:xfrm>
        <a:prstGeom prst="rect">
          <a:avLst/>
        </a:prstGeom>
      </xdr:spPr>
    </xdr:pic>
    <xdr:clientData/>
  </xdr:twoCellAnchor>
  <xdr:twoCellAnchor editAs="oneCell">
    <xdr:from>
      <xdr:col>4</xdr:col>
      <xdr:colOff>0</xdr:colOff>
      <xdr:row>441</xdr:row>
      <xdr:rowOff>0</xdr:rowOff>
    </xdr:from>
    <xdr:to>
      <xdr:col>7</xdr:col>
      <xdr:colOff>544286</xdr:colOff>
      <xdr:row>456</xdr:row>
      <xdr:rowOff>91547</xdr:rowOff>
    </xdr:to>
    <xdr:pic>
      <xdr:nvPicPr>
        <xdr:cNvPr id="90" name="Picture 89">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23"/>
        <a:stretch>
          <a:fillRect/>
        </a:stretch>
      </xdr:blipFill>
      <xdr:spPr>
        <a:xfrm>
          <a:off x="4027714" y="80010000"/>
          <a:ext cx="3737429" cy="2812976"/>
        </a:xfrm>
        <a:prstGeom prst="rect">
          <a:avLst/>
        </a:prstGeom>
      </xdr:spPr>
    </xdr:pic>
    <xdr:clientData/>
  </xdr:twoCellAnchor>
  <xdr:twoCellAnchor editAs="oneCell">
    <xdr:from>
      <xdr:col>0</xdr:col>
      <xdr:colOff>0</xdr:colOff>
      <xdr:row>462</xdr:row>
      <xdr:rowOff>24190</xdr:rowOff>
    </xdr:from>
    <xdr:to>
      <xdr:col>4</xdr:col>
      <xdr:colOff>1136953</xdr:colOff>
      <xdr:row>481</xdr:row>
      <xdr:rowOff>144564</xdr:rowOff>
    </xdr:to>
    <xdr:pic>
      <xdr:nvPicPr>
        <xdr:cNvPr id="91" name="Picture 90">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24"/>
        <a:stretch>
          <a:fillRect/>
        </a:stretch>
      </xdr:blipFill>
      <xdr:spPr>
        <a:xfrm>
          <a:off x="0" y="83844190"/>
          <a:ext cx="5164667" cy="3567517"/>
        </a:xfrm>
        <a:prstGeom prst="rect">
          <a:avLst/>
        </a:prstGeom>
      </xdr:spPr>
    </xdr:pic>
    <xdr:clientData/>
  </xdr:twoCellAnchor>
  <xdr:twoCellAnchor>
    <xdr:from>
      <xdr:col>0</xdr:col>
      <xdr:colOff>0</xdr:colOff>
      <xdr:row>485</xdr:row>
      <xdr:rowOff>0</xdr:rowOff>
    </xdr:from>
    <xdr:to>
      <xdr:col>4</xdr:col>
      <xdr:colOff>822960</xdr:colOff>
      <xdr:row>487</xdr:row>
      <xdr:rowOff>7620</xdr:rowOff>
    </xdr:to>
    <xdr:pic>
      <xdr:nvPicPr>
        <xdr:cNvPr id="92" name="Picture 91">
          <a:extLst>
            <a:ext uri="{FF2B5EF4-FFF2-40B4-BE49-F238E27FC236}">
              <a16:creationId xmlns:a16="http://schemas.microsoft.com/office/drawing/2014/main" id="{00000000-0008-0000-0000-00005C000000}"/>
            </a:ext>
          </a:extLst>
        </xdr:cNvPr>
        <xdr:cNvPicPr>
          <a:picLocks noChangeAspect="1" noChangeArrowheads="1"/>
        </xdr:cNvPicPr>
      </xdr:nvPicPr>
      <xdr:blipFill>
        <a:blip xmlns:r="http://schemas.openxmlformats.org/officeDocument/2006/relationships" r:embed="rId2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88696800"/>
          <a:ext cx="484632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488</xdr:row>
      <xdr:rowOff>0</xdr:rowOff>
    </xdr:from>
    <xdr:to>
      <xdr:col>1</xdr:col>
      <xdr:colOff>470647</xdr:colOff>
      <xdr:row>491</xdr:row>
      <xdr:rowOff>99060</xdr:rowOff>
    </xdr:to>
    <xdr:pic>
      <xdr:nvPicPr>
        <xdr:cNvPr id="93" name="Picture 92">
          <a:extLst>
            <a:ext uri="{FF2B5EF4-FFF2-40B4-BE49-F238E27FC236}">
              <a16:creationId xmlns:a16="http://schemas.microsoft.com/office/drawing/2014/main" id="{00000000-0008-0000-0000-00005D000000}"/>
            </a:ext>
          </a:extLst>
        </xdr:cNvPr>
        <xdr:cNvPicPr>
          <a:picLocks noChangeAspect="1" noChangeArrowheads="1"/>
        </xdr:cNvPicPr>
      </xdr:nvPicPr>
      <xdr:blipFill rotWithShape="1">
        <a:blip xmlns:r="http://schemas.openxmlformats.org/officeDocument/2006/relationships" r:embed="rId26">
          <a:clrChange>
            <a:clrFrom>
              <a:srgbClr val="FFFFFF"/>
            </a:clrFrom>
            <a:clrTo>
              <a:srgbClr val="FFFFFF">
                <a:alpha val="0"/>
              </a:srgbClr>
            </a:clrTo>
          </a:clrChange>
          <a:extLst>
            <a:ext uri="{28A0092B-C50C-407E-A947-70E740481C1C}">
              <a14:useLocalDpi xmlns:a14="http://schemas.microsoft.com/office/drawing/2010/main" val="0"/>
            </a:ext>
          </a:extLst>
        </a:blip>
        <a:srcRect r="47574"/>
        <a:stretch/>
      </xdr:blipFill>
      <xdr:spPr bwMode="auto">
        <a:xfrm>
          <a:off x="0" y="92952794"/>
          <a:ext cx="2566147"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492</xdr:row>
      <xdr:rowOff>0</xdr:rowOff>
    </xdr:from>
    <xdr:to>
      <xdr:col>4</xdr:col>
      <xdr:colOff>632460</xdr:colOff>
      <xdr:row>494</xdr:row>
      <xdr:rowOff>7620</xdr:rowOff>
    </xdr:to>
    <xdr:pic>
      <xdr:nvPicPr>
        <xdr:cNvPr id="94" name="Picture 93">
          <a:extLst>
            <a:ext uri="{FF2B5EF4-FFF2-40B4-BE49-F238E27FC236}">
              <a16:creationId xmlns:a16="http://schemas.microsoft.com/office/drawing/2014/main" id="{00000000-0008-0000-0000-00005E000000}"/>
            </a:ext>
          </a:extLst>
        </xdr:cNvPr>
        <xdr:cNvPicPr>
          <a:picLocks noChangeAspect="1" noChangeArrowheads="1"/>
        </xdr:cNvPicPr>
      </xdr:nvPicPr>
      <xdr:blipFill>
        <a:blip xmlns:r="http://schemas.openxmlformats.org/officeDocument/2006/relationships" r:embed="rId2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89976960"/>
          <a:ext cx="465582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496</xdr:row>
      <xdr:rowOff>0</xdr:rowOff>
    </xdr:from>
    <xdr:to>
      <xdr:col>1</xdr:col>
      <xdr:colOff>437029</xdr:colOff>
      <xdr:row>499</xdr:row>
      <xdr:rowOff>99060</xdr:rowOff>
    </xdr:to>
    <xdr:pic>
      <xdr:nvPicPr>
        <xdr:cNvPr id="95" name="Picture 94">
          <a:extLst>
            <a:ext uri="{FF2B5EF4-FFF2-40B4-BE49-F238E27FC236}">
              <a16:creationId xmlns:a16="http://schemas.microsoft.com/office/drawing/2014/main" id="{00000000-0008-0000-0000-00005F000000}"/>
            </a:ext>
          </a:extLst>
        </xdr:cNvPr>
        <xdr:cNvPicPr>
          <a:picLocks noChangeAspect="1" noChangeArrowheads="1"/>
        </xdr:cNvPicPr>
      </xdr:nvPicPr>
      <xdr:blipFill rotWithShape="1">
        <a:blip xmlns:r="http://schemas.openxmlformats.org/officeDocument/2006/relationships" r:embed="rId28">
          <a:clrChange>
            <a:clrFrom>
              <a:srgbClr val="FFFFFF"/>
            </a:clrFrom>
            <a:clrTo>
              <a:srgbClr val="FFFFFF">
                <a:alpha val="0"/>
              </a:srgbClr>
            </a:clrTo>
          </a:clrChange>
          <a:extLst>
            <a:ext uri="{28A0092B-C50C-407E-A947-70E740481C1C}">
              <a14:useLocalDpi xmlns:a14="http://schemas.microsoft.com/office/drawing/2010/main" val="0"/>
            </a:ext>
          </a:extLst>
        </a:blip>
        <a:srcRect r="50861"/>
        <a:stretch/>
      </xdr:blipFill>
      <xdr:spPr bwMode="auto">
        <a:xfrm>
          <a:off x="0" y="94476794"/>
          <a:ext cx="2532529"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500</xdr:row>
      <xdr:rowOff>0</xdr:rowOff>
    </xdr:from>
    <xdr:to>
      <xdr:col>1</xdr:col>
      <xdr:colOff>182880</xdr:colOff>
      <xdr:row>501</xdr:row>
      <xdr:rowOff>160020</xdr:rowOff>
    </xdr:to>
    <xdr:pic>
      <xdr:nvPicPr>
        <xdr:cNvPr id="96" name="Picture 95">
          <a:extLst>
            <a:ext uri="{FF2B5EF4-FFF2-40B4-BE49-F238E27FC236}">
              <a16:creationId xmlns:a16="http://schemas.microsoft.com/office/drawing/2014/main" id="{00000000-0008-0000-0000-000060000000}"/>
            </a:ext>
          </a:extLst>
        </xdr:cNvPr>
        <xdr:cNvPicPr>
          <a:picLocks noChangeAspect="1" noChangeArrowheads="1"/>
        </xdr:cNvPicPr>
      </xdr:nvPicPr>
      <xdr:blipFill>
        <a:blip xmlns:r="http://schemas.openxmlformats.org/officeDocument/2006/relationships" r:embed="rId2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1440000"/>
          <a:ext cx="2286000"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502</xdr:row>
      <xdr:rowOff>0</xdr:rowOff>
    </xdr:from>
    <xdr:to>
      <xdr:col>0</xdr:col>
      <xdr:colOff>2049780</xdr:colOff>
      <xdr:row>503</xdr:row>
      <xdr:rowOff>160020</xdr:rowOff>
    </xdr:to>
    <xdr:pic>
      <xdr:nvPicPr>
        <xdr:cNvPr id="97" name="Picture 96">
          <a:extLst>
            <a:ext uri="{FF2B5EF4-FFF2-40B4-BE49-F238E27FC236}">
              <a16:creationId xmlns:a16="http://schemas.microsoft.com/office/drawing/2014/main" id="{00000000-0008-0000-0000-000061000000}"/>
            </a:ext>
          </a:extLst>
        </xdr:cNvPr>
        <xdr:cNvPicPr>
          <a:picLocks noChangeAspect="1" noChangeArrowheads="1"/>
        </xdr:cNvPicPr>
      </xdr:nvPicPr>
      <xdr:blipFill>
        <a:blip xmlns:r="http://schemas.openxmlformats.org/officeDocument/2006/relationships" r:embed="rId3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1805760"/>
          <a:ext cx="2049780"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500</xdr:row>
      <xdr:rowOff>0</xdr:rowOff>
    </xdr:from>
    <xdr:to>
      <xdr:col>4</xdr:col>
      <xdr:colOff>78442</xdr:colOff>
      <xdr:row>501</xdr:row>
      <xdr:rowOff>44824</xdr:rowOff>
    </xdr:to>
    <xdr:pic>
      <xdr:nvPicPr>
        <xdr:cNvPr id="98" name="Picture 97">
          <a:extLst>
            <a:ext uri="{FF2B5EF4-FFF2-40B4-BE49-F238E27FC236}">
              <a16:creationId xmlns:a16="http://schemas.microsoft.com/office/drawing/2014/main" id="{00000000-0008-0000-0000-000062000000}"/>
            </a:ext>
          </a:extLst>
        </xdr:cNvPr>
        <xdr:cNvPicPr>
          <a:picLocks noChangeAspect="1" noChangeArrowheads="1"/>
        </xdr:cNvPicPr>
      </xdr:nvPicPr>
      <xdr:blipFill rotWithShape="1">
        <a:blip xmlns:r="http://schemas.openxmlformats.org/officeDocument/2006/relationships" r:embed="rId31">
          <a:clrChange>
            <a:clrFrom>
              <a:srgbClr val="FFFFFF"/>
            </a:clrFrom>
            <a:clrTo>
              <a:srgbClr val="FFFFFF">
                <a:alpha val="0"/>
              </a:srgbClr>
            </a:clrTo>
          </a:clrChange>
          <a:extLst>
            <a:ext uri="{28A0092B-C50C-407E-A947-70E740481C1C}">
              <a14:useLocalDpi xmlns:a14="http://schemas.microsoft.com/office/drawing/2010/main" val="0"/>
            </a:ext>
          </a:extLst>
        </a:blip>
        <a:srcRect t="1" r="65868" b="379"/>
        <a:stretch/>
      </xdr:blipFill>
      <xdr:spPr bwMode="auto">
        <a:xfrm>
          <a:off x="2756647" y="95238794"/>
          <a:ext cx="1378324" cy="235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501</xdr:row>
      <xdr:rowOff>190499</xdr:rowOff>
    </xdr:from>
    <xdr:to>
      <xdr:col>4</xdr:col>
      <xdr:colOff>100853</xdr:colOff>
      <xdr:row>503</xdr:row>
      <xdr:rowOff>78440</xdr:rowOff>
    </xdr:to>
    <xdr:pic>
      <xdr:nvPicPr>
        <xdr:cNvPr id="99" name="Picture 98">
          <a:extLst>
            <a:ext uri="{FF2B5EF4-FFF2-40B4-BE49-F238E27FC236}">
              <a16:creationId xmlns:a16="http://schemas.microsoft.com/office/drawing/2014/main" id="{00000000-0008-0000-0000-000063000000}"/>
            </a:ext>
          </a:extLst>
        </xdr:cNvPr>
        <xdr:cNvPicPr>
          <a:picLocks noChangeAspect="1" noChangeArrowheads="1"/>
        </xdr:cNvPicPr>
      </xdr:nvPicPr>
      <xdr:blipFill rotWithShape="1">
        <a:blip xmlns:r="http://schemas.openxmlformats.org/officeDocument/2006/relationships" r:embed="rId32">
          <a:clrChange>
            <a:clrFrom>
              <a:srgbClr val="FFFFFF"/>
            </a:clrFrom>
            <a:clrTo>
              <a:srgbClr val="FFFFFF">
                <a:alpha val="0"/>
              </a:srgbClr>
            </a:clrTo>
          </a:clrChange>
          <a:extLst>
            <a:ext uri="{28A0092B-C50C-407E-A947-70E740481C1C}">
              <a14:useLocalDpi xmlns:a14="http://schemas.microsoft.com/office/drawing/2010/main" val="0"/>
            </a:ext>
          </a:extLst>
        </a:blip>
        <a:srcRect r="69821" b="-13852"/>
        <a:stretch/>
      </xdr:blipFill>
      <xdr:spPr bwMode="auto">
        <a:xfrm>
          <a:off x="2756647" y="95619793"/>
          <a:ext cx="1400735" cy="2689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506</xdr:row>
      <xdr:rowOff>0</xdr:rowOff>
    </xdr:from>
    <xdr:to>
      <xdr:col>5</xdr:col>
      <xdr:colOff>53340</xdr:colOff>
      <xdr:row>510</xdr:row>
      <xdr:rowOff>22860</xdr:rowOff>
    </xdr:to>
    <xdr:pic>
      <xdr:nvPicPr>
        <xdr:cNvPr id="100" name="Picture 99">
          <a:extLst>
            <a:ext uri="{FF2B5EF4-FFF2-40B4-BE49-F238E27FC236}">
              <a16:creationId xmlns:a16="http://schemas.microsoft.com/office/drawing/2014/main" id="{00000000-0008-0000-0000-000064000000}"/>
            </a:ext>
          </a:extLst>
        </xdr:cNvPr>
        <xdr:cNvPicPr>
          <a:picLocks noChangeAspect="1" noChangeArrowheads="1"/>
        </xdr:cNvPicPr>
      </xdr:nvPicPr>
      <xdr:blipFill>
        <a:blip xmlns:r="http://schemas.openxmlformats.org/officeDocument/2006/relationships" r:embed="rId3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2537280"/>
          <a:ext cx="5943600" cy="75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510</xdr:row>
      <xdr:rowOff>0</xdr:rowOff>
    </xdr:from>
    <xdr:to>
      <xdr:col>4</xdr:col>
      <xdr:colOff>22860</xdr:colOff>
      <xdr:row>513</xdr:row>
      <xdr:rowOff>99060</xdr:rowOff>
    </xdr:to>
    <xdr:pic>
      <xdr:nvPicPr>
        <xdr:cNvPr id="101" name="Picture 100">
          <a:extLst>
            <a:ext uri="{FF2B5EF4-FFF2-40B4-BE49-F238E27FC236}">
              <a16:creationId xmlns:a16="http://schemas.microsoft.com/office/drawing/2014/main" id="{00000000-0008-0000-0000-000065000000}"/>
            </a:ext>
          </a:extLst>
        </xdr:cNvPr>
        <xdr:cNvPicPr>
          <a:picLocks noChangeAspect="1" noChangeArrowheads="1"/>
        </xdr:cNvPicPr>
      </xdr:nvPicPr>
      <xdr:blipFill>
        <a:blip xmlns:r="http://schemas.openxmlformats.org/officeDocument/2006/relationships" r:embed="rId3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3268800"/>
          <a:ext cx="404622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514</xdr:row>
      <xdr:rowOff>0</xdr:rowOff>
    </xdr:from>
    <xdr:to>
      <xdr:col>5</xdr:col>
      <xdr:colOff>53340</xdr:colOff>
      <xdr:row>518</xdr:row>
      <xdr:rowOff>22860</xdr:rowOff>
    </xdr:to>
    <xdr:pic>
      <xdr:nvPicPr>
        <xdr:cNvPr id="103" name="Picture 102">
          <a:extLst>
            <a:ext uri="{FF2B5EF4-FFF2-40B4-BE49-F238E27FC236}">
              <a16:creationId xmlns:a16="http://schemas.microsoft.com/office/drawing/2014/main" id="{00000000-0008-0000-0000-000067000000}"/>
            </a:ext>
          </a:extLst>
        </xdr:cNvPr>
        <xdr:cNvPicPr>
          <a:picLocks noChangeAspect="1" noChangeArrowheads="1"/>
        </xdr:cNvPicPr>
      </xdr:nvPicPr>
      <xdr:blipFill>
        <a:blip xmlns:r="http://schemas.openxmlformats.org/officeDocument/2006/relationships" r:embed="rId3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4000320"/>
          <a:ext cx="5943600" cy="75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518</xdr:row>
      <xdr:rowOff>0</xdr:rowOff>
    </xdr:from>
    <xdr:to>
      <xdr:col>3</xdr:col>
      <xdr:colOff>495300</xdr:colOff>
      <xdr:row>521</xdr:row>
      <xdr:rowOff>99060</xdr:rowOff>
    </xdr:to>
    <xdr:pic>
      <xdr:nvPicPr>
        <xdr:cNvPr id="104" name="Picture 103">
          <a:extLst>
            <a:ext uri="{FF2B5EF4-FFF2-40B4-BE49-F238E27FC236}">
              <a16:creationId xmlns:a16="http://schemas.microsoft.com/office/drawing/2014/main" id="{00000000-0008-0000-0000-000068000000}"/>
            </a:ext>
          </a:extLst>
        </xdr:cNvPr>
        <xdr:cNvPicPr>
          <a:picLocks noChangeAspect="1" noChangeArrowheads="1"/>
        </xdr:cNvPicPr>
      </xdr:nvPicPr>
      <xdr:blipFill>
        <a:blip xmlns:r="http://schemas.openxmlformats.org/officeDocument/2006/relationships" r:embed="rId3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4731840"/>
          <a:ext cx="387858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522</xdr:row>
      <xdr:rowOff>0</xdr:rowOff>
    </xdr:from>
    <xdr:to>
      <xdr:col>1</xdr:col>
      <xdr:colOff>518160</xdr:colOff>
      <xdr:row>523</xdr:row>
      <xdr:rowOff>160020</xdr:rowOff>
    </xdr:to>
    <xdr:pic>
      <xdr:nvPicPr>
        <xdr:cNvPr id="106" name="Picture 105">
          <a:extLst>
            <a:ext uri="{FF2B5EF4-FFF2-40B4-BE49-F238E27FC236}">
              <a16:creationId xmlns:a16="http://schemas.microsoft.com/office/drawing/2014/main" id="{00000000-0008-0000-0000-00006A000000}"/>
            </a:ext>
          </a:extLst>
        </xdr:cNvPr>
        <xdr:cNvPicPr>
          <a:picLocks noChangeAspect="1" noChangeArrowheads="1"/>
        </xdr:cNvPicPr>
      </xdr:nvPicPr>
      <xdr:blipFill>
        <a:blip xmlns:r="http://schemas.openxmlformats.org/officeDocument/2006/relationships" r:embed="rId3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5463360"/>
          <a:ext cx="2621280"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524</xdr:row>
      <xdr:rowOff>0</xdr:rowOff>
    </xdr:from>
    <xdr:to>
      <xdr:col>1</xdr:col>
      <xdr:colOff>579120</xdr:colOff>
      <xdr:row>525</xdr:row>
      <xdr:rowOff>160020</xdr:rowOff>
    </xdr:to>
    <xdr:pic>
      <xdr:nvPicPr>
        <xdr:cNvPr id="107" name="Picture 106">
          <a:extLst>
            <a:ext uri="{FF2B5EF4-FFF2-40B4-BE49-F238E27FC236}">
              <a16:creationId xmlns:a16="http://schemas.microsoft.com/office/drawing/2014/main" id="{00000000-0008-0000-0000-00006B000000}"/>
            </a:ext>
          </a:extLst>
        </xdr:cNvPr>
        <xdr:cNvPicPr>
          <a:picLocks noChangeAspect="1" noChangeArrowheads="1"/>
        </xdr:cNvPicPr>
      </xdr:nvPicPr>
      <xdr:blipFill>
        <a:blip xmlns:r="http://schemas.openxmlformats.org/officeDocument/2006/relationships" r:embed="rId3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5829120"/>
          <a:ext cx="2682240"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523</xdr:row>
      <xdr:rowOff>0</xdr:rowOff>
    </xdr:from>
    <xdr:to>
      <xdr:col>4</xdr:col>
      <xdr:colOff>1333500</xdr:colOff>
      <xdr:row>524</xdr:row>
      <xdr:rowOff>78441</xdr:rowOff>
    </xdr:to>
    <xdr:pic>
      <xdr:nvPicPr>
        <xdr:cNvPr id="109" name="Picture 108">
          <a:extLst>
            <a:ext uri="{FF2B5EF4-FFF2-40B4-BE49-F238E27FC236}">
              <a16:creationId xmlns:a16="http://schemas.microsoft.com/office/drawing/2014/main" id="{00000000-0008-0000-0000-00006D000000}"/>
            </a:ext>
          </a:extLst>
        </xdr:cNvPr>
        <xdr:cNvPicPr>
          <a:picLocks noChangeAspect="1" noChangeArrowheads="1"/>
        </xdr:cNvPicPr>
      </xdr:nvPicPr>
      <xdr:blipFill rotWithShape="1">
        <a:blip xmlns:r="http://schemas.openxmlformats.org/officeDocument/2006/relationships" r:embed="rId39">
          <a:clrChange>
            <a:clrFrom>
              <a:srgbClr val="FFFFFF"/>
            </a:clrFrom>
            <a:clrTo>
              <a:srgbClr val="FFFFFF">
                <a:alpha val="0"/>
              </a:srgbClr>
            </a:clrTo>
          </a:clrChange>
          <a:extLst>
            <a:ext uri="{28A0092B-C50C-407E-A947-70E740481C1C}">
              <a14:useLocalDpi xmlns:a14="http://schemas.microsoft.com/office/drawing/2010/main" val="0"/>
            </a:ext>
          </a:extLst>
        </a:blip>
        <a:srcRect r="65868" b="-13851"/>
        <a:stretch/>
      </xdr:blipFill>
      <xdr:spPr bwMode="auto">
        <a:xfrm>
          <a:off x="3417794" y="99620294"/>
          <a:ext cx="1972235" cy="2689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xdr:colOff>
      <xdr:row>524</xdr:row>
      <xdr:rowOff>190499</xdr:rowOff>
    </xdr:from>
    <xdr:to>
      <xdr:col>4</xdr:col>
      <xdr:colOff>1131796</xdr:colOff>
      <xdr:row>526</xdr:row>
      <xdr:rowOff>134470</xdr:rowOff>
    </xdr:to>
    <xdr:pic>
      <xdr:nvPicPr>
        <xdr:cNvPr id="110" name="Picture 109">
          <a:extLst>
            <a:ext uri="{FF2B5EF4-FFF2-40B4-BE49-F238E27FC236}">
              <a16:creationId xmlns:a16="http://schemas.microsoft.com/office/drawing/2014/main" id="{00000000-0008-0000-0000-00006E000000}"/>
            </a:ext>
          </a:extLst>
        </xdr:cNvPr>
        <xdr:cNvPicPr>
          <a:picLocks noChangeAspect="1" noChangeArrowheads="1"/>
        </xdr:cNvPicPr>
      </xdr:nvPicPr>
      <xdr:blipFill rotWithShape="1">
        <a:blip xmlns:r="http://schemas.openxmlformats.org/officeDocument/2006/relationships" r:embed="rId40">
          <a:clrChange>
            <a:clrFrom>
              <a:srgbClr val="FFFFFF"/>
            </a:clrFrom>
            <a:clrTo>
              <a:srgbClr val="FFFFFF">
                <a:alpha val="0"/>
              </a:srgbClr>
            </a:clrTo>
          </a:clrChange>
          <a:extLst>
            <a:ext uri="{28A0092B-C50C-407E-A947-70E740481C1C}">
              <a14:useLocalDpi xmlns:a14="http://schemas.microsoft.com/office/drawing/2010/main" val="0"/>
            </a:ext>
          </a:extLst>
        </a:blip>
        <a:srcRect r="68096" b="-37571"/>
        <a:stretch/>
      </xdr:blipFill>
      <xdr:spPr bwMode="auto">
        <a:xfrm>
          <a:off x="3417795" y="100001293"/>
          <a:ext cx="1770530" cy="3249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529</xdr:row>
      <xdr:rowOff>0</xdr:rowOff>
    </xdr:from>
    <xdr:to>
      <xdr:col>4</xdr:col>
      <xdr:colOff>579120</xdr:colOff>
      <xdr:row>531</xdr:row>
      <xdr:rowOff>7620</xdr:rowOff>
    </xdr:to>
    <xdr:pic>
      <xdr:nvPicPr>
        <xdr:cNvPr id="111" name="Picture 110">
          <a:extLst>
            <a:ext uri="{FF2B5EF4-FFF2-40B4-BE49-F238E27FC236}">
              <a16:creationId xmlns:a16="http://schemas.microsoft.com/office/drawing/2014/main" id="{00000000-0008-0000-0000-00006F000000}"/>
            </a:ext>
          </a:extLst>
        </xdr:cNvPr>
        <xdr:cNvPicPr>
          <a:picLocks noChangeAspect="1" noChangeArrowheads="1"/>
        </xdr:cNvPicPr>
      </xdr:nvPicPr>
      <xdr:blipFill>
        <a:blip xmlns:r="http://schemas.openxmlformats.org/officeDocument/2006/relationships" r:embed="rId4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6743520"/>
          <a:ext cx="460248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531</xdr:row>
      <xdr:rowOff>0</xdr:rowOff>
    </xdr:from>
    <xdr:to>
      <xdr:col>1</xdr:col>
      <xdr:colOff>414619</xdr:colOff>
      <xdr:row>534</xdr:row>
      <xdr:rowOff>99060</xdr:rowOff>
    </xdr:to>
    <xdr:pic>
      <xdr:nvPicPr>
        <xdr:cNvPr id="112" name="Picture 111">
          <a:extLst>
            <a:ext uri="{FF2B5EF4-FFF2-40B4-BE49-F238E27FC236}">
              <a16:creationId xmlns:a16="http://schemas.microsoft.com/office/drawing/2014/main" id="{00000000-0008-0000-0000-000070000000}"/>
            </a:ext>
          </a:extLst>
        </xdr:cNvPr>
        <xdr:cNvPicPr>
          <a:picLocks noChangeAspect="1" noChangeArrowheads="1"/>
        </xdr:cNvPicPr>
      </xdr:nvPicPr>
      <xdr:blipFill rotWithShape="1">
        <a:blip xmlns:r="http://schemas.openxmlformats.org/officeDocument/2006/relationships" r:embed="rId42">
          <a:clrChange>
            <a:clrFrom>
              <a:srgbClr val="FFFFFF"/>
            </a:clrFrom>
            <a:clrTo>
              <a:srgbClr val="FFFFFF">
                <a:alpha val="0"/>
              </a:srgbClr>
            </a:clrTo>
          </a:clrChange>
          <a:extLst>
            <a:ext uri="{28A0092B-C50C-407E-A947-70E740481C1C}">
              <a14:useLocalDpi xmlns:a14="http://schemas.microsoft.com/office/drawing/2010/main" val="0"/>
            </a:ext>
          </a:extLst>
        </a:blip>
        <a:srcRect r="51795"/>
        <a:stretch/>
      </xdr:blipFill>
      <xdr:spPr bwMode="auto">
        <a:xfrm>
          <a:off x="1" y="101144294"/>
          <a:ext cx="2510118"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535</xdr:row>
      <xdr:rowOff>0</xdr:rowOff>
    </xdr:from>
    <xdr:to>
      <xdr:col>4</xdr:col>
      <xdr:colOff>548640</xdr:colOff>
      <xdr:row>537</xdr:row>
      <xdr:rowOff>7620</xdr:rowOff>
    </xdr:to>
    <xdr:pic>
      <xdr:nvPicPr>
        <xdr:cNvPr id="113" name="Picture 112">
          <a:extLst>
            <a:ext uri="{FF2B5EF4-FFF2-40B4-BE49-F238E27FC236}">
              <a16:creationId xmlns:a16="http://schemas.microsoft.com/office/drawing/2014/main" id="{00000000-0008-0000-0000-000071000000}"/>
            </a:ext>
          </a:extLst>
        </xdr:cNvPr>
        <xdr:cNvPicPr>
          <a:picLocks noChangeAspect="1" noChangeArrowheads="1"/>
        </xdr:cNvPicPr>
      </xdr:nvPicPr>
      <xdr:blipFill>
        <a:blip xmlns:r="http://schemas.openxmlformats.org/officeDocument/2006/relationships" r:embed="rId4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7840800"/>
          <a:ext cx="457200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537</xdr:row>
      <xdr:rowOff>0</xdr:rowOff>
    </xdr:from>
    <xdr:to>
      <xdr:col>1</xdr:col>
      <xdr:colOff>403413</xdr:colOff>
      <xdr:row>540</xdr:row>
      <xdr:rowOff>99060</xdr:rowOff>
    </xdr:to>
    <xdr:pic>
      <xdr:nvPicPr>
        <xdr:cNvPr id="114" name="Picture 113">
          <a:extLst>
            <a:ext uri="{FF2B5EF4-FFF2-40B4-BE49-F238E27FC236}">
              <a16:creationId xmlns:a16="http://schemas.microsoft.com/office/drawing/2014/main" id="{00000000-0008-0000-0000-000072000000}"/>
            </a:ext>
          </a:extLst>
        </xdr:cNvPr>
        <xdr:cNvPicPr>
          <a:picLocks noChangeAspect="1" noChangeArrowheads="1"/>
        </xdr:cNvPicPr>
      </xdr:nvPicPr>
      <xdr:blipFill rotWithShape="1">
        <a:blip xmlns:r="http://schemas.openxmlformats.org/officeDocument/2006/relationships" r:embed="rId44">
          <a:clrChange>
            <a:clrFrom>
              <a:srgbClr val="FFFFFF"/>
            </a:clrFrom>
            <a:clrTo>
              <a:srgbClr val="FFFFFF">
                <a:alpha val="0"/>
              </a:srgbClr>
            </a:clrTo>
          </a:clrChange>
          <a:extLst>
            <a:ext uri="{28A0092B-C50C-407E-A947-70E740481C1C}">
              <a14:useLocalDpi xmlns:a14="http://schemas.microsoft.com/office/drawing/2010/main" val="0"/>
            </a:ext>
          </a:extLst>
        </a:blip>
        <a:srcRect r="51798"/>
        <a:stretch/>
      </xdr:blipFill>
      <xdr:spPr bwMode="auto">
        <a:xfrm>
          <a:off x="1" y="102287294"/>
          <a:ext cx="2498912"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541</xdr:row>
      <xdr:rowOff>0</xdr:rowOff>
    </xdr:from>
    <xdr:to>
      <xdr:col>1</xdr:col>
      <xdr:colOff>30480</xdr:colOff>
      <xdr:row>542</xdr:row>
      <xdr:rowOff>160020</xdr:rowOff>
    </xdr:to>
    <xdr:pic>
      <xdr:nvPicPr>
        <xdr:cNvPr id="115" name="Picture 114">
          <a:extLst>
            <a:ext uri="{FF2B5EF4-FFF2-40B4-BE49-F238E27FC236}">
              <a16:creationId xmlns:a16="http://schemas.microsoft.com/office/drawing/2014/main" id="{00000000-0008-0000-0000-000073000000}"/>
            </a:ext>
          </a:extLst>
        </xdr:cNvPr>
        <xdr:cNvPicPr>
          <a:picLocks noChangeAspect="1" noChangeArrowheads="1"/>
        </xdr:cNvPicPr>
      </xdr:nvPicPr>
      <xdr:blipFill>
        <a:blip xmlns:r="http://schemas.openxmlformats.org/officeDocument/2006/relationships" r:embed="rId4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8938080"/>
          <a:ext cx="2133600"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543</xdr:row>
      <xdr:rowOff>0</xdr:rowOff>
    </xdr:from>
    <xdr:to>
      <xdr:col>0</xdr:col>
      <xdr:colOff>2049780</xdr:colOff>
      <xdr:row>544</xdr:row>
      <xdr:rowOff>160020</xdr:rowOff>
    </xdr:to>
    <xdr:pic>
      <xdr:nvPicPr>
        <xdr:cNvPr id="116" name="Picture 115">
          <a:extLst>
            <a:ext uri="{FF2B5EF4-FFF2-40B4-BE49-F238E27FC236}">
              <a16:creationId xmlns:a16="http://schemas.microsoft.com/office/drawing/2014/main" id="{00000000-0008-0000-0000-000074000000}"/>
            </a:ext>
          </a:extLst>
        </xdr:cNvPr>
        <xdr:cNvPicPr>
          <a:picLocks noChangeAspect="1" noChangeArrowheads="1"/>
        </xdr:cNvPicPr>
      </xdr:nvPicPr>
      <xdr:blipFill>
        <a:blip xmlns:r="http://schemas.openxmlformats.org/officeDocument/2006/relationships" r:embed="rId4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9303840"/>
          <a:ext cx="2049780" cy="34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542</xdr:row>
      <xdr:rowOff>0</xdr:rowOff>
    </xdr:from>
    <xdr:to>
      <xdr:col>4</xdr:col>
      <xdr:colOff>145677</xdr:colOff>
      <xdr:row>543</xdr:row>
      <xdr:rowOff>22412</xdr:rowOff>
    </xdr:to>
    <xdr:pic>
      <xdr:nvPicPr>
        <xdr:cNvPr id="117" name="Picture 116">
          <a:extLst>
            <a:ext uri="{FF2B5EF4-FFF2-40B4-BE49-F238E27FC236}">
              <a16:creationId xmlns:a16="http://schemas.microsoft.com/office/drawing/2014/main" id="{00000000-0008-0000-0000-000075000000}"/>
            </a:ext>
          </a:extLst>
        </xdr:cNvPr>
        <xdr:cNvPicPr>
          <a:picLocks noChangeAspect="1" noChangeArrowheads="1"/>
        </xdr:cNvPicPr>
      </xdr:nvPicPr>
      <xdr:blipFill rotWithShape="1">
        <a:blip xmlns:r="http://schemas.openxmlformats.org/officeDocument/2006/relationships" r:embed="rId47">
          <a:clrChange>
            <a:clrFrom>
              <a:srgbClr val="FFFFFF"/>
            </a:clrFrom>
            <a:clrTo>
              <a:srgbClr val="FFFFFF">
                <a:alpha val="0"/>
              </a:srgbClr>
            </a:clrTo>
          </a:clrChange>
          <a:extLst>
            <a:ext uri="{28A0092B-C50C-407E-A947-70E740481C1C}">
              <a14:useLocalDpi xmlns:a14="http://schemas.microsoft.com/office/drawing/2010/main" val="0"/>
            </a:ext>
          </a:extLst>
        </a:blip>
        <a:srcRect r="68752" b="9868"/>
        <a:stretch/>
      </xdr:blipFill>
      <xdr:spPr bwMode="auto">
        <a:xfrm>
          <a:off x="2756647" y="103239794"/>
          <a:ext cx="1445559" cy="2129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544</xdr:row>
      <xdr:rowOff>0</xdr:rowOff>
    </xdr:from>
    <xdr:to>
      <xdr:col>4</xdr:col>
      <xdr:colOff>112059</xdr:colOff>
      <xdr:row>545</xdr:row>
      <xdr:rowOff>22412</xdr:rowOff>
    </xdr:to>
    <xdr:pic>
      <xdr:nvPicPr>
        <xdr:cNvPr id="119" name="Picture 118">
          <a:extLst>
            <a:ext uri="{FF2B5EF4-FFF2-40B4-BE49-F238E27FC236}">
              <a16:creationId xmlns:a16="http://schemas.microsoft.com/office/drawing/2014/main" id="{00000000-0008-0000-0000-000077000000}"/>
            </a:ext>
          </a:extLst>
        </xdr:cNvPr>
        <xdr:cNvPicPr>
          <a:picLocks noChangeAspect="1" noChangeArrowheads="1"/>
        </xdr:cNvPicPr>
      </xdr:nvPicPr>
      <xdr:blipFill rotWithShape="1">
        <a:blip xmlns:r="http://schemas.openxmlformats.org/officeDocument/2006/relationships" r:embed="rId48">
          <a:clrChange>
            <a:clrFrom>
              <a:srgbClr val="FFFFFF"/>
            </a:clrFrom>
            <a:clrTo>
              <a:srgbClr val="FFFFFF">
                <a:alpha val="0"/>
              </a:srgbClr>
            </a:clrTo>
          </a:clrChange>
          <a:extLst>
            <a:ext uri="{28A0092B-C50C-407E-A947-70E740481C1C}">
              <a14:useLocalDpi xmlns:a14="http://schemas.microsoft.com/office/drawing/2010/main" val="0"/>
            </a:ext>
          </a:extLst>
        </a:blip>
        <a:srcRect r="69580" b="3475"/>
        <a:stretch/>
      </xdr:blipFill>
      <xdr:spPr bwMode="auto">
        <a:xfrm>
          <a:off x="2756647" y="103620794"/>
          <a:ext cx="1411941" cy="224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547</xdr:row>
      <xdr:rowOff>0</xdr:rowOff>
    </xdr:from>
    <xdr:to>
      <xdr:col>0</xdr:col>
      <xdr:colOff>1512795</xdr:colOff>
      <xdr:row>549</xdr:row>
      <xdr:rowOff>11206</xdr:rowOff>
    </xdr:to>
    <xdr:pic>
      <xdr:nvPicPr>
        <xdr:cNvPr id="120" name="Picture 119">
          <a:extLst>
            <a:ext uri="{FF2B5EF4-FFF2-40B4-BE49-F238E27FC236}">
              <a16:creationId xmlns:a16="http://schemas.microsoft.com/office/drawing/2014/main" id="{00000000-0008-0000-0000-000078000000}"/>
            </a:ext>
          </a:extLst>
        </xdr:cNvPr>
        <xdr:cNvPicPr>
          <a:picLocks noChangeAspect="1" noChangeArrowheads="1"/>
        </xdr:cNvPicPr>
      </xdr:nvPicPr>
      <xdr:blipFill rotWithShape="1">
        <a:blip xmlns:r="http://schemas.openxmlformats.org/officeDocument/2006/relationships" r:embed="rId49">
          <a:clrChange>
            <a:clrFrom>
              <a:srgbClr val="FFFFFF"/>
            </a:clrFrom>
            <a:clrTo>
              <a:srgbClr val="FFFFFF">
                <a:alpha val="0"/>
              </a:srgbClr>
            </a:clrTo>
          </a:clrChange>
          <a:extLst>
            <a:ext uri="{28A0092B-C50C-407E-A947-70E740481C1C}">
              <a14:useLocalDpi xmlns:a14="http://schemas.microsoft.com/office/drawing/2010/main" val="0"/>
            </a:ext>
          </a:extLst>
        </a:blip>
        <a:srcRect r="69567" b="6418"/>
        <a:stretch/>
      </xdr:blipFill>
      <xdr:spPr bwMode="auto">
        <a:xfrm>
          <a:off x="1" y="104203500"/>
          <a:ext cx="1512794" cy="3922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549</xdr:row>
      <xdr:rowOff>0</xdr:rowOff>
    </xdr:from>
    <xdr:to>
      <xdr:col>0</xdr:col>
      <xdr:colOff>1501589</xdr:colOff>
      <xdr:row>551</xdr:row>
      <xdr:rowOff>22412</xdr:rowOff>
    </xdr:to>
    <xdr:pic>
      <xdr:nvPicPr>
        <xdr:cNvPr id="121" name="Picture 120">
          <a:extLst>
            <a:ext uri="{FF2B5EF4-FFF2-40B4-BE49-F238E27FC236}">
              <a16:creationId xmlns:a16="http://schemas.microsoft.com/office/drawing/2014/main" id="{00000000-0008-0000-0000-000079000000}"/>
            </a:ext>
          </a:extLst>
        </xdr:cNvPr>
        <xdr:cNvPicPr>
          <a:picLocks noChangeAspect="1" noChangeArrowheads="1"/>
        </xdr:cNvPicPr>
      </xdr:nvPicPr>
      <xdr:blipFill rotWithShape="1">
        <a:blip xmlns:r="http://schemas.openxmlformats.org/officeDocument/2006/relationships" r:embed="rId50">
          <a:clrChange>
            <a:clrFrom>
              <a:srgbClr val="FFFFFF"/>
            </a:clrFrom>
            <a:clrTo>
              <a:srgbClr val="FFFFFF">
                <a:alpha val="0"/>
              </a:srgbClr>
            </a:clrTo>
          </a:clrChange>
          <a:extLst>
            <a:ext uri="{28A0092B-C50C-407E-A947-70E740481C1C}">
              <a14:useLocalDpi xmlns:a14="http://schemas.microsoft.com/office/drawing/2010/main" val="0"/>
            </a:ext>
          </a:extLst>
        </a:blip>
        <a:srcRect t="1" r="70293" b="3743"/>
        <a:stretch/>
      </xdr:blipFill>
      <xdr:spPr bwMode="auto">
        <a:xfrm>
          <a:off x="1" y="104584500"/>
          <a:ext cx="1501588" cy="403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551</xdr:row>
      <xdr:rowOff>0</xdr:rowOff>
    </xdr:from>
    <xdr:to>
      <xdr:col>0</xdr:col>
      <xdr:colOff>1524001</xdr:colOff>
      <xdr:row>553</xdr:row>
      <xdr:rowOff>11206</xdr:rowOff>
    </xdr:to>
    <xdr:pic>
      <xdr:nvPicPr>
        <xdr:cNvPr id="122" name="Picture 121">
          <a:extLst>
            <a:ext uri="{FF2B5EF4-FFF2-40B4-BE49-F238E27FC236}">
              <a16:creationId xmlns:a16="http://schemas.microsoft.com/office/drawing/2014/main" id="{00000000-0008-0000-0000-00007A000000}"/>
            </a:ext>
          </a:extLst>
        </xdr:cNvPr>
        <xdr:cNvPicPr>
          <a:picLocks noChangeAspect="1" noChangeArrowheads="1"/>
        </xdr:cNvPicPr>
      </xdr:nvPicPr>
      <xdr:blipFill rotWithShape="1">
        <a:blip xmlns:r="http://schemas.openxmlformats.org/officeDocument/2006/relationships" r:embed="rId51">
          <a:clrChange>
            <a:clrFrom>
              <a:srgbClr val="FFFFFF"/>
            </a:clrFrom>
            <a:clrTo>
              <a:srgbClr val="FFFFFF">
                <a:alpha val="0"/>
              </a:srgbClr>
            </a:clrTo>
          </a:clrChange>
          <a:extLst>
            <a:ext uri="{28A0092B-C50C-407E-A947-70E740481C1C}">
              <a14:useLocalDpi xmlns:a14="http://schemas.microsoft.com/office/drawing/2010/main" val="0"/>
            </a:ext>
          </a:extLst>
        </a:blip>
        <a:srcRect r="69153" b="6418"/>
        <a:stretch/>
      </xdr:blipFill>
      <xdr:spPr bwMode="auto">
        <a:xfrm>
          <a:off x="1" y="104965500"/>
          <a:ext cx="1524000" cy="3922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553</xdr:row>
      <xdr:rowOff>0</xdr:rowOff>
    </xdr:from>
    <xdr:to>
      <xdr:col>0</xdr:col>
      <xdr:colOff>1535207</xdr:colOff>
      <xdr:row>555</xdr:row>
      <xdr:rowOff>0</xdr:rowOff>
    </xdr:to>
    <xdr:pic>
      <xdr:nvPicPr>
        <xdr:cNvPr id="123" name="Picture 122">
          <a:extLst>
            <a:ext uri="{FF2B5EF4-FFF2-40B4-BE49-F238E27FC236}">
              <a16:creationId xmlns:a16="http://schemas.microsoft.com/office/drawing/2014/main" id="{00000000-0008-0000-0000-00007B000000}"/>
            </a:ext>
          </a:extLst>
        </xdr:cNvPr>
        <xdr:cNvPicPr>
          <a:picLocks noChangeAspect="1" noChangeArrowheads="1"/>
        </xdr:cNvPicPr>
      </xdr:nvPicPr>
      <xdr:blipFill rotWithShape="1">
        <a:blip xmlns:r="http://schemas.openxmlformats.org/officeDocument/2006/relationships" r:embed="rId52">
          <a:clrChange>
            <a:clrFrom>
              <a:srgbClr val="FFFFFF"/>
            </a:clrFrom>
            <a:clrTo>
              <a:srgbClr val="FFFFFF">
                <a:alpha val="0"/>
              </a:srgbClr>
            </a:clrTo>
          </a:clrChange>
          <a:extLst>
            <a:ext uri="{28A0092B-C50C-407E-A947-70E740481C1C}">
              <a14:useLocalDpi xmlns:a14="http://schemas.microsoft.com/office/drawing/2010/main" val="0"/>
            </a:ext>
          </a:extLst>
        </a:blip>
        <a:srcRect r="69444" b="9091"/>
        <a:stretch/>
      </xdr:blipFill>
      <xdr:spPr bwMode="auto">
        <a:xfrm>
          <a:off x="1" y="105346500"/>
          <a:ext cx="1535206"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555</xdr:row>
      <xdr:rowOff>0</xdr:rowOff>
    </xdr:from>
    <xdr:to>
      <xdr:col>0</xdr:col>
      <xdr:colOff>1512795</xdr:colOff>
      <xdr:row>557</xdr:row>
      <xdr:rowOff>33618</xdr:rowOff>
    </xdr:to>
    <xdr:pic>
      <xdr:nvPicPr>
        <xdr:cNvPr id="124" name="Picture 123">
          <a:extLst>
            <a:ext uri="{FF2B5EF4-FFF2-40B4-BE49-F238E27FC236}">
              <a16:creationId xmlns:a16="http://schemas.microsoft.com/office/drawing/2014/main" id="{00000000-0008-0000-0000-00007C000000}"/>
            </a:ext>
          </a:extLst>
        </xdr:cNvPr>
        <xdr:cNvPicPr>
          <a:picLocks noChangeAspect="1" noChangeArrowheads="1"/>
        </xdr:cNvPicPr>
      </xdr:nvPicPr>
      <xdr:blipFill rotWithShape="1">
        <a:blip xmlns:r="http://schemas.openxmlformats.org/officeDocument/2006/relationships" r:embed="rId53">
          <a:clrChange>
            <a:clrFrom>
              <a:srgbClr val="FFFFFF"/>
            </a:clrFrom>
            <a:clrTo>
              <a:srgbClr val="FFFFFF">
                <a:alpha val="0"/>
              </a:srgbClr>
            </a:clrTo>
          </a:clrChange>
          <a:extLst>
            <a:ext uri="{28A0092B-C50C-407E-A947-70E740481C1C}">
              <a14:useLocalDpi xmlns:a14="http://schemas.microsoft.com/office/drawing/2010/main" val="0"/>
            </a:ext>
          </a:extLst>
        </a:blip>
        <a:srcRect r="69753" b="1069"/>
        <a:stretch/>
      </xdr:blipFill>
      <xdr:spPr bwMode="auto">
        <a:xfrm>
          <a:off x="1" y="105727500"/>
          <a:ext cx="1512794" cy="414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557</xdr:row>
      <xdr:rowOff>0</xdr:rowOff>
    </xdr:from>
    <xdr:to>
      <xdr:col>0</xdr:col>
      <xdr:colOff>1512795</xdr:colOff>
      <xdr:row>559</xdr:row>
      <xdr:rowOff>33618</xdr:rowOff>
    </xdr:to>
    <xdr:pic>
      <xdr:nvPicPr>
        <xdr:cNvPr id="125" name="Picture 124">
          <a:extLst>
            <a:ext uri="{FF2B5EF4-FFF2-40B4-BE49-F238E27FC236}">
              <a16:creationId xmlns:a16="http://schemas.microsoft.com/office/drawing/2014/main" id="{00000000-0008-0000-0000-00007D000000}"/>
            </a:ext>
          </a:extLst>
        </xdr:cNvPr>
        <xdr:cNvPicPr>
          <a:picLocks noChangeAspect="1" noChangeArrowheads="1"/>
        </xdr:cNvPicPr>
      </xdr:nvPicPr>
      <xdr:blipFill rotWithShape="1">
        <a:blip xmlns:r="http://schemas.openxmlformats.org/officeDocument/2006/relationships" r:embed="rId54">
          <a:clrChange>
            <a:clrFrom>
              <a:srgbClr val="FFFFFF"/>
            </a:clrFrom>
            <a:clrTo>
              <a:srgbClr val="FFFFFF">
                <a:alpha val="0"/>
              </a:srgbClr>
            </a:clrTo>
          </a:clrChange>
          <a:extLst>
            <a:ext uri="{28A0092B-C50C-407E-A947-70E740481C1C}">
              <a14:useLocalDpi xmlns:a14="http://schemas.microsoft.com/office/drawing/2010/main" val="0"/>
            </a:ext>
          </a:extLst>
        </a:blip>
        <a:srcRect r="70251" b="1069"/>
        <a:stretch/>
      </xdr:blipFill>
      <xdr:spPr bwMode="auto">
        <a:xfrm>
          <a:off x="1" y="106108500"/>
          <a:ext cx="1512794" cy="414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2</xdr:row>
      <xdr:rowOff>0</xdr:rowOff>
    </xdr:from>
    <xdr:to>
      <xdr:col>2</xdr:col>
      <xdr:colOff>114300</xdr:colOff>
      <xdr:row>3</xdr:row>
      <xdr:rowOff>22860</xdr:rowOff>
    </xdr:to>
    <xdr:pic>
      <xdr:nvPicPr>
        <xdr:cNvPr id="126" name="Picture 125">
          <a:extLst>
            <a:ext uri="{FF2B5EF4-FFF2-40B4-BE49-F238E27FC236}">
              <a16:creationId xmlns:a16="http://schemas.microsoft.com/office/drawing/2014/main" id="{00000000-0008-0000-0000-00007E000000}"/>
            </a:ext>
          </a:extLst>
        </xdr:cNvPr>
        <xdr:cNvPicPr>
          <a:picLocks noChangeAspect="1" noChangeArrowheads="1"/>
        </xdr:cNvPicPr>
      </xdr:nvPicPr>
      <xdr:blipFill>
        <a:blip xmlns:r="http://schemas.openxmlformats.org/officeDocument/2006/relationships" r:embed="rId5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743200" y="365760"/>
          <a:ext cx="114300" cy="20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3</xdr:row>
      <xdr:rowOff>0</xdr:rowOff>
    </xdr:from>
    <xdr:to>
      <xdr:col>2</xdr:col>
      <xdr:colOff>160020</xdr:colOff>
      <xdr:row>4</xdr:row>
      <xdr:rowOff>22860</xdr:rowOff>
    </xdr:to>
    <xdr:pic>
      <xdr:nvPicPr>
        <xdr:cNvPr id="127" name="Picture 126">
          <a:extLst>
            <a:ext uri="{FF2B5EF4-FFF2-40B4-BE49-F238E27FC236}">
              <a16:creationId xmlns:a16="http://schemas.microsoft.com/office/drawing/2014/main" id="{00000000-0008-0000-0000-00007F000000}"/>
            </a:ext>
          </a:extLst>
        </xdr:cNvPr>
        <xdr:cNvPicPr>
          <a:picLocks noChangeAspect="1" noChangeArrowheads="1"/>
        </xdr:cNvPicPr>
      </xdr:nvPicPr>
      <xdr:blipFill>
        <a:blip xmlns:r="http://schemas.openxmlformats.org/officeDocument/2006/relationships" r:embed="rId5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743200" y="548640"/>
          <a:ext cx="160020" cy="20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4</xdr:row>
      <xdr:rowOff>0</xdr:rowOff>
    </xdr:from>
    <xdr:to>
      <xdr:col>2</xdr:col>
      <xdr:colOff>175260</xdr:colOff>
      <xdr:row>5</xdr:row>
      <xdr:rowOff>22860</xdr:rowOff>
    </xdr:to>
    <xdr:pic>
      <xdr:nvPicPr>
        <xdr:cNvPr id="128" name="Picture 127">
          <a:extLst>
            <a:ext uri="{FF2B5EF4-FFF2-40B4-BE49-F238E27FC236}">
              <a16:creationId xmlns:a16="http://schemas.microsoft.com/office/drawing/2014/main" id="{00000000-0008-0000-0000-000080000000}"/>
            </a:ext>
          </a:extLst>
        </xdr:cNvPr>
        <xdr:cNvPicPr>
          <a:picLocks noChangeAspect="1" noChangeArrowheads="1"/>
        </xdr:cNvPicPr>
      </xdr:nvPicPr>
      <xdr:blipFill>
        <a:blip xmlns:r="http://schemas.openxmlformats.org/officeDocument/2006/relationships" r:embed="rId5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743200" y="731520"/>
          <a:ext cx="175260" cy="20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5</xdr:row>
      <xdr:rowOff>0</xdr:rowOff>
    </xdr:from>
    <xdr:to>
      <xdr:col>2</xdr:col>
      <xdr:colOff>175260</xdr:colOff>
      <xdr:row>6</xdr:row>
      <xdr:rowOff>22860</xdr:rowOff>
    </xdr:to>
    <xdr:pic>
      <xdr:nvPicPr>
        <xdr:cNvPr id="129" name="Picture 128">
          <a:extLst>
            <a:ext uri="{FF2B5EF4-FFF2-40B4-BE49-F238E27FC236}">
              <a16:creationId xmlns:a16="http://schemas.microsoft.com/office/drawing/2014/main" id="{00000000-0008-0000-0000-000081000000}"/>
            </a:ext>
          </a:extLst>
        </xdr:cNvPr>
        <xdr:cNvPicPr>
          <a:picLocks noChangeAspect="1" noChangeArrowheads="1"/>
        </xdr:cNvPicPr>
      </xdr:nvPicPr>
      <xdr:blipFill>
        <a:blip xmlns:r="http://schemas.openxmlformats.org/officeDocument/2006/relationships" r:embed="rId5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743200" y="914400"/>
          <a:ext cx="175260" cy="20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562</xdr:row>
      <xdr:rowOff>0</xdr:rowOff>
    </xdr:from>
    <xdr:to>
      <xdr:col>2</xdr:col>
      <xdr:colOff>51163</xdr:colOff>
      <xdr:row>570</xdr:row>
      <xdr:rowOff>126048</xdr:rowOff>
    </xdr:to>
    <xdr:pic>
      <xdr:nvPicPr>
        <xdr:cNvPr id="130" name="Picture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58"/>
        <a:stretch>
          <a:fillRect/>
        </a:stretch>
      </xdr:blipFill>
      <xdr:spPr>
        <a:xfrm>
          <a:off x="0" y="101974952"/>
          <a:ext cx="2796782" cy="1577477"/>
        </a:xfrm>
        <a:prstGeom prst="rect">
          <a:avLst/>
        </a:prstGeom>
      </xdr:spPr>
    </xdr:pic>
    <xdr:clientData/>
  </xdr:twoCellAnchor>
  <xdr:twoCellAnchor editAs="oneCell">
    <xdr:from>
      <xdr:col>0</xdr:col>
      <xdr:colOff>0</xdr:colOff>
      <xdr:row>572</xdr:row>
      <xdr:rowOff>0</xdr:rowOff>
    </xdr:from>
    <xdr:to>
      <xdr:col>2</xdr:col>
      <xdr:colOff>51163</xdr:colOff>
      <xdr:row>587</xdr:row>
      <xdr:rowOff>105836</xdr:rowOff>
    </xdr:to>
    <xdr:pic>
      <xdr:nvPicPr>
        <xdr:cNvPr id="131" name="Picture 130">
          <a:extLst>
            <a:ext uri="{FF2B5EF4-FFF2-40B4-BE49-F238E27FC236}">
              <a16:creationId xmlns:a16="http://schemas.microsoft.com/office/drawing/2014/main" id="{00000000-0008-0000-0000-000083000000}"/>
            </a:ext>
          </a:extLst>
        </xdr:cNvPr>
        <xdr:cNvPicPr>
          <a:picLocks noChangeAspect="1"/>
        </xdr:cNvPicPr>
      </xdr:nvPicPr>
      <xdr:blipFill>
        <a:blip xmlns:r="http://schemas.openxmlformats.org/officeDocument/2006/relationships" r:embed="rId59"/>
        <a:stretch>
          <a:fillRect/>
        </a:stretch>
      </xdr:blipFill>
      <xdr:spPr>
        <a:xfrm>
          <a:off x="0" y="103789238"/>
          <a:ext cx="2796782" cy="2827265"/>
        </a:xfrm>
        <a:prstGeom prst="rect">
          <a:avLst/>
        </a:prstGeom>
      </xdr:spPr>
    </xdr:pic>
    <xdr:clientData/>
  </xdr:twoCellAnchor>
  <xdr:twoCellAnchor>
    <xdr:from>
      <xdr:col>2</xdr:col>
      <xdr:colOff>0</xdr:colOff>
      <xdr:row>6</xdr:row>
      <xdr:rowOff>0</xdr:rowOff>
    </xdr:from>
    <xdr:to>
      <xdr:col>2</xdr:col>
      <xdr:colOff>396240</xdr:colOff>
      <xdr:row>7</xdr:row>
      <xdr:rowOff>22860</xdr:rowOff>
    </xdr:to>
    <xdr:pic>
      <xdr:nvPicPr>
        <xdr:cNvPr id="132" name="Picture 131">
          <a:extLst>
            <a:ext uri="{FF2B5EF4-FFF2-40B4-BE49-F238E27FC236}">
              <a16:creationId xmlns:a16="http://schemas.microsoft.com/office/drawing/2014/main" id="{00000000-0008-0000-0000-000084000000}"/>
            </a:ext>
          </a:extLst>
        </xdr:cNvPr>
        <xdr:cNvPicPr>
          <a:picLocks noChangeAspect="1" noChangeArrowheads="1"/>
        </xdr:cNvPicPr>
      </xdr:nvPicPr>
      <xdr:blipFill>
        <a:blip xmlns:r="http://schemas.openxmlformats.org/officeDocument/2006/relationships" r:embed="rId6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743200" y="1097280"/>
          <a:ext cx="396240" cy="20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594</xdr:row>
      <xdr:rowOff>0</xdr:rowOff>
    </xdr:from>
    <xdr:to>
      <xdr:col>2</xdr:col>
      <xdr:colOff>313765</xdr:colOff>
      <xdr:row>596</xdr:row>
      <xdr:rowOff>22412</xdr:rowOff>
    </xdr:to>
    <xdr:pic>
      <xdr:nvPicPr>
        <xdr:cNvPr id="133" name="Picture 132">
          <a:extLst>
            <a:ext uri="{FF2B5EF4-FFF2-40B4-BE49-F238E27FC236}">
              <a16:creationId xmlns:a16="http://schemas.microsoft.com/office/drawing/2014/main" id="{00000000-0008-0000-0000-000085000000}"/>
            </a:ext>
          </a:extLst>
        </xdr:cNvPr>
        <xdr:cNvPicPr>
          <a:picLocks noChangeAspect="1" noChangeArrowheads="1"/>
        </xdr:cNvPicPr>
      </xdr:nvPicPr>
      <xdr:blipFill rotWithShape="1">
        <a:blip xmlns:r="http://schemas.openxmlformats.org/officeDocument/2006/relationships" r:embed="rId61">
          <a:clrChange>
            <a:clrFrom>
              <a:srgbClr val="FFFFFF"/>
            </a:clrFrom>
            <a:clrTo>
              <a:srgbClr val="FFFFFF">
                <a:alpha val="0"/>
              </a:srgbClr>
            </a:clrTo>
          </a:clrChange>
          <a:extLst>
            <a:ext uri="{28A0092B-C50C-407E-A947-70E740481C1C}">
              <a14:useLocalDpi xmlns:a14="http://schemas.microsoft.com/office/drawing/2010/main" val="0"/>
            </a:ext>
          </a:extLst>
        </a:blip>
        <a:srcRect r="48666" b="32986"/>
        <a:stretch/>
      </xdr:blipFill>
      <xdr:spPr bwMode="auto">
        <a:xfrm>
          <a:off x="0" y="113145794"/>
          <a:ext cx="3070412" cy="403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598</xdr:row>
      <xdr:rowOff>156882</xdr:rowOff>
    </xdr:from>
    <xdr:to>
      <xdr:col>2</xdr:col>
      <xdr:colOff>302559</xdr:colOff>
      <xdr:row>600</xdr:row>
      <xdr:rowOff>179294</xdr:rowOff>
    </xdr:to>
    <xdr:pic>
      <xdr:nvPicPr>
        <xdr:cNvPr id="136" name="Picture 135">
          <a:extLst>
            <a:ext uri="{FF2B5EF4-FFF2-40B4-BE49-F238E27FC236}">
              <a16:creationId xmlns:a16="http://schemas.microsoft.com/office/drawing/2014/main" id="{00000000-0008-0000-0000-000088000000}"/>
            </a:ext>
          </a:extLst>
        </xdr:cNvPr>
        <xdr:cNvPicPr>
          <a:picLocks noChangeAspect="1" noChangeArrowheads="1"/>
        </xdr:cNvPicPr>
      </xdr:nvPicPr>
      <xdr:blipFill rotWithShape="1">
        <a:blip xmlns:r="http://schemas.openxmlformats.org/officeDocument/2006/relationships" r:embed="rId62">
          <a:clrChange>
            <a:clrFrom>
              <a:srgbClr val="FFFFFF"/>
            </a:clrFrom>
            <a:clrTo>
              <a:srgbClr val="FFFFFF">
                <a:alpha val="0"/>
              </a:srgbClr>
            </a:clrTo>
          </a:clrChange>
          <a:extLst>
            <a:ext uri="{28A0092B-C50C-407E-A947-70E740481C1C}">
              <a14:useLocalDpi xmlns:a14="http://schemas.microsoft.com/office/drawing/2010/main" val="0"/>
            </a:ext>
          </a:extLst>
        </a:blip>
        <a:srcRect r="48853" b="32986"/>
        <a:stretch/>
      </xdr:blipFill>
      <xdr:spPr bwMode="auto">
        <a:xfrm>
          <a:off x="0" y="114064676"/>
          <a:ext cx="3059206" cy="403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11206</xdr:colOff>
      <xdr:row>596</xdr:row>
      <xdr:rowOff>56029</xdr:rowOff>
    </xdr:from>
    <xdr:to>
      <xdr:col>2</xdr:col>
      <xdr:colOff>302559</xdr:colOff>
      <xdr:row>598</xdr:row>
      <xdr:rowOff>44823</xdr:rowOff>
    </xdr:to>
    <xdr:pic>
      <xdr:nvPicPr>
        <xdr:cNvPr id="137" name="Picture 136">
          <a:extLst>
            <a:ext uri="{FF2B5EF4-FFF2-40B4-BE49-F238E27FC236}">
              <a16:creationId xmlns:a16="http://schemas.microsoft.com/office/drawing/2014/main" id="{00000000-0008-0000-0000-000089000000}"/>
            </a:ext>
          </a:extLst>
        </xdr:cNvPr>
        <xdr:cNvPicPr>
          <a:picLocks noChangeAspect="1" noChangeArrowheads="1"/>
        </xdr:cNvPicPr>
      </xdr:nvPicPr>
      <xdr:blipFill rotWithShape="1">
        <a:blip xmlns:r="http://schemas.openxmlformats.org/officeDocument/2006/relationships" r:embed="rId63">
          <a:clrChange>
            <a:clrFrom>
              <a:srgbClr val="FFFFFF"/>
            </a:clrFrom>
            <a:clrTo>
              <a:srgbClr val="FFFFFF">
                <a:alpha val="0"/>
              </a:srgbClr>
            </a:clrTo>
          </a:clrChange>
          <a:extLst>
            <a:ext uri="{28A0092B-C50C-407E-A947-70E740481C1C}">
              <a14:useLocalDpi xmlns:a14="http://schemas.microsoft.com/office/drawing/2010/main" val="0"/>
            </a:ext>
          </a:extLst>
        </a:blip>
        <a:srcRect r="49041" b="38570"/>
        <a:stretch/>
      </xdr:blipFill>
      <xdr:spPr bwMode="auto">
        <a:xfrm>
          <a:off x="11206" y="113582823"/>
          <a:ext cx="3048000" cy="3697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607</xdr:row>
      <xdr:rowOff>0</xdr:rowOff>
    </xdr:from>
    <xdr:to>
      <xdr:col>1</xdr:col>
      <xdr:colOff>190501</xdr:colOff>
      <xdr:row>609</xdr:row>
      <xdr:rowOff>67235</xdr:rowOff>
    </xdr:to>
    <xdr:pic>
      <xdr:nvPicPr>
        <xdr:cNvPr id="138" name="Picture 137">
          <a:extLst>
            <a:ext uri="{FF2B5EF4-FFF2-40B4-BE49-F238E27FC236}">
              <a16:creationId xmlns:a16="http://schemas.microsoft.com/office/drawing/2014/main" id="{00000000-0008-0000-0000-00008A000000}"/>
            </a:ext>
          </a:extLst>
        </xdr:cNvPr>
        <xdr:cNvPicPr>
          <a:picLocks noChangeAspect="1" noChangeArrowheads="1"/>
        </xdr:cNvPicPr>
      </xdr:nvPicPr>
      <xdr:blipFill rotWithShape="1">
        <a:blip xmlns:r="http://schemas.openxmlformats.org/officeDocument/2006/relationships" r:embed="rId64">
          <a:clrChange>
            <a:clrFrom>
              <a:srgbClr val="FFFFFF"/>
            </a:clrFrom>
            <a:clrTo>
              <a:srgbClr val="FFFFFF">
                <a:alpha val="0"/>
              </a:srgbClr>
            </a:clrTo>
          </a:clrChange>
          <a:extLst>
            <a:ext uri="{28A0092B-C50C-407E-A947-70E740481C1C}">
              <a14:useLocalDpi xmlns:a14="http://schemas.microsoft.com/office/drawing/2010/main" val="0"/>
            </a:ext>
          </a:extLst>
        </a:blip>
        <a:srcRect r="58754" b="1961"/>
        <a:stretch/>
      </xdr:blipFill>
      <xdr:spPr bwMode="auto">
        <a:xfrm>
          <a:off x="1" y="115622294"/>
          <a:ext cx="2286000" cy="448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610</xdr:row>
      <xdr:rowOff>0</xdr:rowOff>
    </xdr:from>
    <xdr:to>
      <xdr:col>1</xdr:col>
      <xdr:colOff>201707</xdr:colOff>
      <xdr:row>612</xdr:row>
      <xdr:rowOff>56030</xdr:rowOff>
    </xdr:to>
    <xdr:pic>
      <xdr:nvPicPr>
        <xdr:cNvPr id="139" name="Picture 138">
          <a:extLst>
            <a:ext uri="{FF2B5EF4-FFF2-40B4-BE49-F238E27FC236}">
              <a16:creationId xmlns:a16="http://schemas.microsoft.com/office/drawing/2014/main" id="{00000000-0008-0000-0000-00008B000000}"/>
            </a:ext>
          </a:extLst>
        </xdr:cNvPr>
        <xdr:cNvPicPr>
          <a:picLocks noChangeAspect="1" noChangeArrowheads="1"/>
        </xdr:cNvPicPr>
      </xdr:nvPicPr>
      <xdr:blipFill rotWithShape="1">
        <a:blip xmlns:r="http://schemas.openxmlformats.org/officeDocument/2006/relationships" r:embed="rId65">
          <a:clrChange>
            <a:clrFrom>
              <a:srgbClr val="FFFFFF"/>
            </a:clrFrom>
            <a:clrTo>
              <a:srgbClr val="FFFFFF">
                <a:alpha val="0"/>
              </a:srgbClr>
            </a:clrTo>
          </a:clrChange>
          <a:extLst>
            <a:ext uri="{28A0092B-C50C-407E-A947-70E740481C1C}">
              <a14:useLocalDpi xmlns:a14="http://schemas.microsoft.com/office/drawing/2010/main" val="0"/>
            </a:ext>
          </a:extLst>
        </a:blip>
        <a:srcRect t="-1" r="58552" b="4412"/>
        <a:stretch/>
      </xdr:blipFill>
      <xdr:spPr bwMode="auto">
        <a:xfrm>
          <a:off x="1" y="116193794"/>
          <a:ext cx="2297206" cy="437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612</xdr:row>
      <xdr:rowOff>190499</xdr:rowOff>
    </xdr:from>
    <xdr:to>
      <xdr:col>1</xdr:col>
      <xdr:colOff>190501</xdr:colOff>
      <xdr:row>615</xdr:row>
      <xdr:rowOff>112058</xdr:rowOff>
    </xdr:to>
    <xdr:pic>
      <xdr:nvPicPr>
        <xdr:cNvPr id="140" name="Picture 139">
          <a:extLst>
            <a:ext uri="{FF2B5EF4-FFF2-40B4-BE49-F238E27FC236}">
              <a16:creationId xmlns:a16="http://schemas.microsoft.com/office/drawing/2014/main" id="{00000000-0008-0000-0000-00008C000000}"/>
            </a:ext>
          </a:extLst>
        </xdr:cNvPr>
        <xdr:cNvPicPr>
          <a:picLocks noChangeAspect="1" noChangeArrowheads="1"/>
        </xdr:cNvPicPr>
      </xdr:nvPicPr>
      <xdr:blipFill rotWithShape="1">
        <a:blip xmlns:r="http://schemas.openxmlformats.org/officeDocument/2006/relationships" r:embed="rId66">
          <a:clrChange>
            <a:clrFrom>
              <a:srgbClr val="FFFFFF"/>
            </a:clrFrom>
            <a:clrTo>
              <a:srgbClr val="FFFFFF">
                <a:alpha val="0"/>
              </a:srgbClr>
            </a:clrTo>
          </a:clrChange>
          <a:extLst>
            <a:ext uri="{28A0092B-C50C-407E-A947-70E740481C1C}">
              <a14:useLocalDpi xmlns:a14="http://schemas.microsoft.com/office/drawing/2010/main" val="0"/>
            </a:ext>
          </a:extLst>
        </a:blip>
        <a:srcRect r="58754" b="-7843"/>
        <a:stretch/>
      </xdr:blipFill>
      <xdr:spPr bwMode="auto">
        <a:xfrm>
          <a:off x="1" y="116765293"/>
          <a:ext cx="2286000" cy="4930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615</xdr:row>
      <xdr:rowOff>190499</xdr:rowOff>
    </xdr:from>
    <xdr:to>
      <xdr:col>1</xdr:col>
      <xdr:colOff>190501</xdr:colOff>
      <xdr:row>618</xdr:row>
      <xdr:rowOff>78440</xdr:rowOff>
    </xdr:to>
    <xdr:pic>
      <xdr:nvPicPr>
        <xdr:cNvPr id="141" name="Picture 140">
          <a:extLst>
            <a:ext uri="{FF2B5EF4-FFF2-40B4-BE49-F238E27FC236}">
              <a16:creationId xmlns:a16="http://schemas.microsoft.com/office/drawing/2014/main" id="{00000000-0008-0000-0000-00008D000000}"/>
            </a:ext>
          </a:extLst>
        </xdr:cNvPr>
        <xdr:cNvPicPr>
          <a:picLocks noChangeAspect="1" noChangeArrowheads="1"/>
        </xdr:cNvPicPr>
      </xdr:nvPicPr>
      <xdr:blipFill rotWithShape="1">
        <a:blip xmlns:r="http://schemas.openxmlformats.org/officeDocument/2006/relationships" r:embed="rId67">
          <a:clrChange>
            <a:clrFrom>
              <a:srgbClr val="FFFFFF"/>
            </a:clrFrom>
            <a:clrTo>
              <a:srgbClr val="FFFFFF">
                <a:alpha val="0"/>
              </a:srgbClr>
            </a:clrTo>
          </a:clrChange>
          <a:extLst>
            <a:ext uri="{28A0092B-C50C-407E-A947-70E740481C1C}">
              <a14:useLocalDpi xmlns:a14="http://schemas.microsoft.com/office/drawing/2010/main" val="0"/>
            </a:ext>
          </a:extLst>
        </a:blip>
        <a:srcRect r="59369" b="-490"/>
        <a:stretch/>
      </xdr:blipFill>
      <xdr:spPr bwMode="auto">
        <a:xfrm>
          <a:off x="1" y="117336793"/>
          <a:ext cx="2286000" cy="459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619</xdr:row>
      <xdr:rowOff>0</xdr:rowOff>
    </xdr:from>
    <xdr:to>
      <xdr:col>1</xdr:col>
      <xdr:colOff>201707</xdr:colOff>
      <xdr:row>621</xdr:row>
      <xdr:rowOff>44824</xdr:rowOff>
    </xdr:to>
    <xdr:pic>
      <xdr:nvPicPr>
        <xdr:cNvPr id="142" name="Picture 141">
          <a:extLst>
            <a:ext uri="{FF2B5EF4-FFF2-40B4-BE49-F238E27FC236}">
              <a16:creationId xmlns:a16="http://schemas.microsoft.com/office/drawing/2014/main" id="{00000000-0008-0000-0000-00008E000000}"/>
            </a:ext>
          </a:extLst>
        </xdr:cNvPr>
        <xdr:cNvPicPr>
          <a:picLocks noChangeAspect="1" noChangeArrowheads="1"/>
        </xdr:cNvPicPr>
      </xdr:nvPicPr>
      <xdr:blipFill rotWithShape="1">
        <a:blip xmlns:r="http://schemas.openxmlformats.org/officeDocument/2006/relationships" r:embed="rId68">
          <a:clrChange>
            <a:clrFrom>
              <a:srgbClr val="FFFFFF"/>
            </a:clrFrom>
            <a:clrTo>
              <a:srgbClr val="FFFFFF">
                <a:alpha val="0"/>
              </a:srgbClr>
            </a:clrTo>
          </a:clrChange>
          <a:extLst>
            <a:ext uri="{28A0092B-C50C-407E-A947-70E740481C1C}">
              <a14:useLocalDpi xmlns:a14="http://schemas.microsoft.com/office/drawing/2010/main" val="0"/>
            </a:ext>
          </a:extLst>
        </a:blip>
        <a:srcRect r="58552" b="6862"/>
        <a:stretch/>
      </xdr:blipFill>
      <xdr:spPr bwMode="auto">
        <a:xfrm>
          <a:off x="1" y="117908294"/>
          <a:ext cx="2297206" cy="425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xdr:colOff>
      <xdr:row>621</xdr:row>
      <xdr:rowOff>190499</xdr:rowOff>
    </xdr:from>
    <xdr:to>
      <xdr:col>1</xdr:col>
      <xdr:colOff>201707</xdr:colOff>
      <xdr:row>624</xdr:row>
      <xdr:rowOff>89646</xdr:rowOff>
    </xdr:to>
    <xdr:pic>
      <xdr:nvPicPr>
        <xdr:cNvPr id="143" name="Picture 142">
          <a:extLst>
            <a:ext uri="{FF2B5EF4-FFF2-40B4-BE49-F238E27FC236}">
              <a16:creationId xmlns:a16="http://schemas.microsoft.com/office/drawing/2014/main" id="{00000000-0008-0000-0000-00008F000000}"/>
            </a:ext>
          </a:extLst>
        </xdr:cNvPr>
        <xdr:cNvPicPr>
          <a:picLocks noChangeAspect="1" noChangeArrowheads="1"/>
        </xdr:cNvPicPr>
      </xdr:nvPicPr>
      <xdr:blipFill rotWithShape="1">
        <a:blip xmlns:r="http://schemas.openxmlformats.org/officeDocument/2006/relationships" r:embed="rId69">
          <a:clrChange>
            <a:clrFrom>
              <a:srgbClr val="FFFFFF"/>
            </a:clrFrom>
            <a:clrTo>
              <a:srgbClr val="FFFFFF">
                <a:alpha val="0"/>
              </a:srgbClr>
            </a:clrTo>
          </a:clrChange>
          <a:extLst>
            <a:ext uri="{28A0092B-C50C-407E-A947-70E740481C1C}">
              <a14:useLocalDpi xmlns:a14="http://schemas.microsoft.com/office/drawing/2010/main" val="0"/>
            </a:ext>
          </a:extLst>
        </a:blip>
        <a:srcRect r="58552" b="-2941"/>
        <a:stretch/>
      </xdr:blipFill>
      <xdr:spPr bwMode="auto">
        <a:xfrm>
          <a:off x="1" y="118479793"/>
          <a:ext cx="2297206" cy="4706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10</xdr:col>
      <xdr:colOff>0</xdr:colOff>
      <xdr:row>7</xdr:row>
      <xdr:rowOff>24190</xdr:rowOff>
    </xdr:from>
    <xdr:ext cx="2629128" cy="2453853"/>
    <xdr:pic>
      <xdr:nvPicPr>
        <xdr:cNvPr id="145" name="Picture 144">
          <a:extLst>
            <a:ext uri="{FF2B5EF4-FFF2-40B4-BE49-F238E27FC236}">
              <a16:creationId xmlns:a16="http://schemas.microsoft.com/office/drawing/2014/main" id="{00000000-0008-0000-0000-000091000000}"/>
            </a:ext>
          </a:extLst>
        </xdr:cNvPr>
        <xdr:cNvPicPr>
          <a:picLocks noChangeAspect="1"/>
        </xdr:cNvPicPr>
      </xdr:nvPicPr>
      <xdr:blipFill>
        <a:blip xmlns:r="http://schemas.openxmlformats.org/officeDocument/2006/relationships" r:embed="rId70"/>
        <a:stretch>
          <a:fillRect/>
        </a:stretch>
      </xdr:blipFill>
      <xdr:spPr>
        <a:xfrm>
          <a:off x="0" y="120674190"/>
          <a:ext cx="2629128" cy="2453853"/>
        </a:xfrm>
        <a:prstGeom prst="rect">
          <a:avLst/>
        </a:prstGeom>
      </xdr:spPr>
    </xdr:pic>
    <xdr:clientData/>
  </xdr:oneCellAnchor>
  <xdr:twoCellAnchor>
    <xdr:from>
      <xdr:col>10</xdr:col>
      <xdr:colOff>1</xdr:colOff>
      <xdr:row>67</xdr:row>
      <xdr:rowOff>0</xdr:rowOff>
    </xdr:from>
    <xdr:to>
      <xdr:col>11</xdr:col>
      <xdr:colOff>0</xdr:colOff>
      <xdr:row>69</xdr:row>
      <xdr:rowOff>44824</xdr:rowOff>
    </xdr:to>
    <xdr:pic>
      <xdr:nvPicPr>
        <xdr:cNvPr id="146" name="Picture 145">
          <a:extLst>
            <a:ext uri="{FF2B5EF4-FFF2-40B4-BE49-F238E27FC236}">
              <a16:creationId xmlns:a16="http://schemas.microsoft.com/office/drawing/2014/main" id="{00000000-0008-0000-0000-000092000000}"/>
            </a:ext>
          </a:extLst>
        </xdr:cNvPr>
        <xdr:cNvPicPr>
          <a:picLocks noChangeAspect="1" noChangeArrowheads="1"/>
        </xdr:cNvPicPr>
      </xdr:nvPicPr>
      <xdr:blipFill rotWithShape="1">
        <a:blip xmlns:r="http://schemas.openxmlformats.org/officeDocument/2006/relationships" r:embed="rId71">
          <a:clrChange>
            <a:clrFrom>
              <a:srgbClr val="FFFFFF"/>
            </a:clrFrom>
            <a:clrTo>
              <a:srgbClr val="FFFFFF">
                <a:alpha val="0"/>
              </a:srgbClr>
            </a:clrTo>
          </a:clrChange>
          <a:extLst>
            <a:ext uri="{28A0092B-C50C-407E-A947-70E740481C1C}">
              <a14:useLocalDpi xmlns:a14="http://schemas.microsoft.com/office/drawing/2010/main" val="0"/>
            </a:ext>
          </a:extLst>
        </a:blip>
        <a:srcRect r="51050" b="1961"/>
        <a:stretch/>
      </xdr:blipFill>
      <xdr:spPr bwMode="auto">
        <a:xfrm>
          <a:off x="9267266" y="12763500"/>
          <a:ext cx="1837763" cy="425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70</xdr:row>
      <xdr:rowOff>0</xdr:rowOff>
    </xdr:from>
    <xdr:to>
      <xdr:col>11</xdr:col>
      <xdr:colOff>0</xdr:colOff>
      <xdr:row>72</xdr:row>
      <xdr:rowOff>44824</xdr:rowOff>
    </xdr:to>
    <xdr:pic>
      <xdr:nvPicPr>
        <xdr:cNvPr id="147" name="Picture 146">
          <a:extLst>
            <a:ext uri="{FF2B5EF4-FFF2-40B4-BE49-F238E27FC236}">
              <a16:creationId xmlns:a16="http://schemas.microsoft.com/office/drawing/2014/main" id="{00000000-0008-0000-0000-000093000000}"/>
            </a:ext>
          </a:extLst>
        </xdr:cNvPr>
        <xdr:cNvPicPr>
          <a:picLocks noChangeAspect="1" noChangeArrowheads="1"/>
        </xdr:cNvPicPr>
      </xdr:nvPicPr>
      <xdr:blipFill rotWithShape="1">
        <a:blip xmlns:r="http://schemas.openxmlformats.org/officeDocument/2006/relationships" r:embed="rId72">
          <a:clrChange>
            <a:clrFrom>
              <a:srgbClr val="FFFFFF"/>
            </a:clrFrom>
            <a:clrTo>
              <a:srgbClr val="FFFFFF">
                <a:alpha val="0"/>
              </a:srgbClr>
            </a:clrTo>
          </a:clrChange>
          <a:extLst>
            <a:ext uri="{28A0092B-C50C-407E-A947-70E740481C1C}">
              <a14:useLocalDpi xmlns:a14="http://schemas.microsoft.com/office/drawing/2010/main" val="0"/>
            </a:ext>
          </a:extLst>
        </a:blip>
        <a:srcRect r="54791" b="1962"/>
        <a:stretch/>
      </xdr:blipFill>
      <xdr:spPr bwMode="auto">
        <a:xfrm>
          <a:off x="9267265" y="13335000"/>
          <a:ext cx="1837764" cy="425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72</xdr:row>
      <xdr:rowOff>190499</xdr:rowOff>
    </xdr:from>
    <xdr:to>
      <xdr:col>11</xdr:col>
      <xdr:colOff>11206</xdr:colOff>
      <xdr:row>75</xdr:row>
      <xdr:rowOff>67234</xdr:rowOff>
    </xdr:to>
    <xdr:pic>
      <xdr:nvPicPr>
        <xdr:cNvPr id="148" name="Picture 147">
          <a:extLst>
            <a:ext uri="{FF2B5EF4-FFF2-40B4-BE49-F238E27FC236}">
              <a16:creationId xmlns:a16="http://schemas.microsoft.com/office/drawing/2014/main" id="{00000000-0008-0000-0000-000094000000}"/>
            </a:ext>
          </a:extLst>
        </xdr:cNvPr>
        <xdr:cNvPicPr>
          <a:picLocks noChangeAspect="1" noChangeArrowheads="1"/>
        </xdr:cNvPicPr>
      </xdr:nvPicPr>
      <xdr:blipFill rotWithShape="1">
        <a:blip xmlns:r="http://schemas.openxmlformats.org/officeDocument/2006/relationships" r:embed="rId73">
          <a:clrChange>
            <a:clrFrom>
              <a:srgbClr val="FFFFFF"/>
            </a:clrFrom>
            <a:clrTo>
              <a:srgbClr val="FFFFFF">
                <a:alpha val="0"/>
              </a:srgbClr>
            </a:clrTo>
          </a:clrChange>
          <a:extLst>
            <a:ext uri="{28A0092B-C50C-407E-A947-70E740481C1C}">
              <a14:useLocalDpi xmlns:a14="http://schemas.microsoft.com/office/drawing/2010/main" val="0"/>
            </a:ext>
          </a:extLst>
        </a:blip>
        <a:srcRect r="54515" b="-3199"/>
        <a:stretch/>
      </xdr:blipFill>
      <xdr:spPr bwMode="auto">
        <a:xfrm>
          <a:off x="9267265" y="13906499"/>
          <a:ext cx="1848970" cy="448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10</xdr:col>
      <xdr:colOff>0</xdr:colOff>
      <xdr:row>34</xdr:row>
      <xdr:rowOff>95591</xdr:rowOff>
    </xdr:from>
    <xdr:ext cx="6495767" cy="4973484"/>
    <xdr:pic>
      <xdr:nvPicPr>
        <xdr:cNvPr id="149" name="Picture 148">
          <a:extLst>
            <a:ext uri="{FF2B5EF4-FFF2-40B4-BE49-F238E27FC236}">
              <a16:creationId xmlns:a16="http://schemas.microsoft.com/office/drawing/2014/main" id="{00000000-0008-0000-0000-000095000000}"/>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xdr:blipFill>
      <xdr:spPr>
        <a:xfrm>
          <a:off x="9204476" y="6264162"/>
          <a:ext cx="6495767" cy="4973484"/>
        </a:xfrm>
        <a:prstGeom prst="rect">
          <a:avLst/>
        </a:prstGeom>
      </xdr:spPr>
    </xdr:pic>
    <xdr:clientData/>
  </xdr:oneCellAnchor>
  <xdr:oneCellAnchor>
    <xdr:from>
      <xdr:col>10</xdr:col>
      <xdr:colOff>41741</xdr:colOff>
      <xdr:row>77</xdr:row>
      <xdr:rowOff>169333</xdr:rowOff>
    </xdr:from>
    <xdr:ext cx="3815985" cy="2623884"/>
    <xdr:pic>
      <xdr:nvPicPr>
        <xdr:cNvPr id="150" name="Picture 149">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xdr:blipFill>
      <xdr:spPr>
        <a:xfrm>
          <a:off x="9246217" y="14139333"/>
          <a:ext cx="3815985" cy="2623884"/>
        </a:xfrm>
        <a:prstGeom prst="rect">
          <a:avLst/>
        </a:prstGeom>
      </xdr:spPr>
    </xdr:pic>
    <xdr:clientData/>
  </xdr:oneCellAnchor>
  <xdr:oneCellAnchor>
    <xdr:from>
      <xdr:col>14</xdr:col>
      <xdr:colOff>0</xdr:colOff>
      <xdr:row>78</xdr:row>
      <xdr:rowOff>36609</xdr:rowOff>
    </xdr:from>
    <xdr:ext cx="3737429" cy="2739758"/>
    <xdr:pic>
      <xdr:nvPicPr>
        <xdr:cNvPr id="151" name="Picture 150">
          <a:extLst>
            <a:ext uri="{FF2B5EF4-FFF2-40B4-BE49-F238E27FC236}">
              <a16:creationId xmlns:a16="http://schemas.microsoft.com/office/drawing/2014/main" id="{00000000-0008-0000-0000-000097000000}"/>
            </a:ext>
          </a:extLst>
        </xdr:cNvPr>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xdr:blipFill>
      <xdr:spPr>
        <a:xfrm>
          <a:off x="13183810" y="14188038"/>
          <a:ext cx="3737429" cy="2739758"/>
        </a:xfrm>
        <a:prstGeom prst="rect">
          <a:avLst/>
        </a:prstGeom>
      </xdr:spPr>
    </xdr:pic>
    <xdr:clientData/>
  </xdr:oneCellAnchor>
  <xdr:oneCellAnchor>
    <xdr:from>
      <xdr:col>10</xdr:col>
      <xdr:colOff>0</xdr:colOff>
      <xdr:row>99</xdr:row>
      <xdr:rowOff>34825</xdr:rowOff>
    </xdr:from>
    <xdr:ext cx="5164667" cy="3546246"/>
    <xdr:pic>
      <xdr:nvPicPr>
        <xdr:cNvPr id="152" name="Picture 151">
          <a:extLst>
            <a:ext uri="{FF2B5EF4-FFF2-40B4-BE49-F238E27FC236}">
              <a16:creationId xmlns:a16="http://schemas.microsoft.com/office/drawing/2014/main" id="{00000000-0008-0000-0000-000098000000}"/>
            </a:ext>
          </a:extLst>
        </xdr:cNvPr>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xdr:blipFill>
      <xdr:spPr>
        <a:xfrm>
          <a:off x="9204476" y="17996254"/>
          <a:ext cx="5164667" cy="3546246"/>
        </a:xfrm>
        <a:prstGeom prst="rect">
          <a:avLst/>
        </a:prstGeom>
      </xdr:spPr>
    </xdr:pic>
    <xdr:clientData/>
  </xdr:oneCellAnchor>
  <xdr:twoCellAnchor>
    <xdr:from>
      <xdr:col>10</xdr:col>
      <xdr:colOff>0</xdr:colOff>
      <xdr:row>122</xdr:row>
      <xdr:rowOff>0</xdr:rowOff>
    </xdr:from>
    <xdr:to>
      <xdr:col>14</xdr:col>
      <xdr:colOff>822960</xdr:colOff>
      <xdr:row>124</xdr:row>
      <xdr:rowOff>7620</xdr:rowOff>
    </xdr:to>
    <xdr:pic>
      <xdr:nvPicPr>
        <xdr:cNvPr id="153" name="Picture 152">
          <a:extLst>
            <a:ext uri="{FF2B5EF4-FFF2-40B4-BE49-F238E27FC236}">
              <a16:creationId xmlns:a16="http://schemas.microsoft.com/office/drawing/2014/main" id="{00000000-0008-0000-0000-000099000000}"/>
            </a:ext>
          </a:extLst>
        </xdr:cNvPr>
        <xdr:cNvPicPr>
          <a:picLocks noChangeAspect="1" noChangeArrowheads="1"/>
        </xdr:cNvPicPr>
      </xdr:nvPicPr>
      <xdr:blipFill>
        <a:blip xmlns:r="http://schemas.openxmlformats.org/officeDocument/2006/relationships" r:embed="rId2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87992857"/>
          <a:ext cx="4850674" cy="3704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129</xdr:row>
      <xdr:rowOff>0</xdr:rowOff>
    </xdr:from>
    <xdr:to>
      <xdr:col>14</xdr:col>
      <xdr:colOff>632460</xdr:colOff>
      <xdr:row>131</xdr:row>
      <xdr:rowOff>7620</xdr:rowOff>
    </xdr:to>
    <xdr:pic>
      <xdr:nvPicPr>
        <xdr:cNvPr id="155" name="Picture 154">
          <a:extLst>
            <a:ext uri="{FF2B5EF4-FFF2-40B4-BE49-F238E27FC236}">
              <a16:creationId xmlns:a16="http://schemas.microsoft.com/office/drawing/2014/main" id="{00000000-0008-0000-0000-00009B000000}"/>
            </a:ext>
          </a:extLst>
        </xdr:cNvPr>
        <xdr:cNvPicPr>
          <a:picLocks noChangeAspect="1" noChangeArrowheads="1"/>
        </xdr:cNvPicPr>
      </xdr:nvPicPr>
      <xdr:blipFill>
        <a:blip xmlns:r="http://schemas.openxmlformats.org/officeDocument/2006/relationships" r:embed="rId2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89262857"/>
          <a:ext cx="4660174" cy="3704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137</xdr:row>
      <xdr:rowOff>0</xdr:rowOff>
    </xdr:from>
    <xdr:to>
      <xdr:col>11</xdr:col>
      <xdr:colOff>182880</xdr:colOff>
      <xdr:row>138</xdr:row>
      <xdr:rowOff>160020</xdr:rowOff>
    </xdr:to>
    <xdr:pic>
      <xdr:nvPicPr>
        <xdr:cNvPr id="157" name="Picture 156">
          <a:extLst>
            <a:ext uri="{FF2B5EF4-FFF2-40B4-BE49-F238E27FC236}">
              <a16:creationId xmlns:a16="http://schemas.microsoft.com/office/drawing/2014/main" id="{00000000-0008-0000-0000-00009D000000}"/>
            </a:ext>
          </a:extLst>
        </xdr:cNvPr>
        <xdr:cNvPicPr>
          <a:picLocks noChangeAspect="1" noChangeArrowheads="1"/>
        </xdr:cNvPicPr>
      </xdr:nvPicPr>
      <xdr:blipFill>
        <a:blip xmlns:r="http://schemas.openxmlformats.org/officeDocument/2006/relationships" r:embed="rId2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0714286"/>
          <a:ext cx="2287451" cy="341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139</xdr:row>
      <xdr:rowOff>0</xdr:rowOff>
    </xdr:from>
    <xdr:to>
      <xdr:col>10</xdr:col>
      <xdr:colOff>2049780</xdr:colOff>
      <xdr:row>140</xdr:row>
      <xdr:rowOff>160020</xdr:rowOff>
    </xdr:to>
    <xdr:pic>
      <xdr:nvPicPr>
        <xdr:cNvPr id="158" name="Picture 157">
          <a:extLst>
            <a:ext uri="{FF2B5EF4-FFF2-40B4-BE49-F238E27FC236}">
              <a16:creationId xmlns:a16="http://schemas.microsoft.com/office/drawing/2014/main" id="{00000000-0008-0000-0000-00009E000000}"/>
            </a:ext>
          </a:extLst>
        </xdr:cNvPr>
        <xdr:cNvPicPr>
          <a:picLocks noChangeAspect="1" noChangeArrowheads="1"/>
        </xdr:cNvPicPr>
      </xdr:nvPicPr>
      <xdr:blipFill>
        <a:blip xmlns:r="http://schemas.openxmlformats.org/officeDocument/2006/relationships" r:embed="rId3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1077143"/>
          <a:ext cx="2049780" cy="341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143</xdr:row>
      <xdr:rowOff>0</xdr:rowOff>
    </xdr:from>
    <xdr:to>
      <xdr:col>15</xdr:col>
      <xdr:colOff>53340</xdr:colOff>
      <xdr:row>147</xdr:row>
      <xdr:rowOff>22860</xdr:rowOff>
    </xdr:to>
    <xdr:pic>
      <xdr:nvPicPr>
        <xdr:cNvPr id="161" name="Picture 160">
          <a:extLst>
            <a:ext uri="{FF2B5EF4-FFF2-40B4-BE49-F238E27FC236}">
              <a16:creationId xmlns:a16="http://schemas.microsoft.com/office/drawing/2014/main" id="{00000000-0008-0000-0000-0000A1000000}"/>
            </a:ext>
          </a:extLst>
        </xdr:cNvPr>
        <xdr:cNvPicPr>
          <a:picLocks noChangeAspect="1" noChangeArrowheads="1"/>
        </xdr:cNvPicPr>
      </xdr:nvPicPr>
      <xdr:blipFill>
        <a:blip xmlns:r="http://schemas.openxmlformats.org/officeDocument/2006/relationships" r:embed="rId3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1802857"/>
          <a:ext cx="5943721" cy="7485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147</xdr:row>
      <xdr:rowOff>0</xdr:rowOff>
    </xdr:from>
    <xdr:to>
      <xdr:col>14</xdr:col>
      <xdr:colOff>22860</xdr:colOff>
      <xdr:row>150</xdr:row>
      <xdr:rowOff>99060</xdr:rowOff>
    </xdr:to>
    <xdr:pic>
      <xdr:nvPicPr>
        <xdr:cNvPr id="162" name="Picture 161">
          <a:extLst>
            <a:ext uri="{FF2B5EF4-FFF2-40B4-BE49-F238E27FC236}">
              <a16:creationId xmlns:a16="http://schemas.microsoft.com/office/drawing/2014/main" id="{00000000-0008-0000-0000-0000A2000000}"/>
            </a:ext>
          </a:extLst>
        </xdr:cNvPr>
        <xdr:cNvPicPr>
          <a:picLocks noChangeAspect="1" noChangeArrowheads="1"/>
        </xdr:cNvPicPr>
      </xdr:nvPicPr>
      <xdr:blipFill>
        <a:blip xmlns:r="http://schemas.openxmlformats.org/officeDocument/2006/relationships" r:embed="rId3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2528571"/>
          <a:ext cx="4050574" cy="643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151</xdr:row>
      <xdr:rowOff>0</xdr:rowOff>
    </xdr:from>
    <xdr:to>
      <xdr:col>15</xdr:col>
      <xdr:colOff>53340</xdr:colOff>
      <xdr:row>155</xdr:row>
      <xdr:rowOff>22860</xdr:rowOff>
    </xdr:to>
    <xdr:pic>
      <xdr:nvPicPr>
        <xdr:cNvPr id="164" name="Picture 163">
          <a:extLst>
            <a:ext uri="{FF2B5EF4-FFF2-40B4-BE49-F238E27FC236}">
              <a16:creationId xmlns:a16="http://schemas.microsoft.com/office/drawing/2014/main" id="{00000000-0008-0000-0000-0000A4000000}"/>
            </a:ext>
          </a:extLst>
        </xdr:cNvPr>
        <xdr:cNvPicPr>
          <a:picLocks noChangeAspect="1" noChangeArrowheads="1"/>
        </xdr:cNvPicPr>
      </xdr:nvPicPr>
      <xdr:blipFill>
        <a:blip xmlns:r="http://schemas.openxmlformats.org/officeDocument/2006/relationships" r:embed="rId3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3254286"/>
          <a:ext cx="5943721" cy="7485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155</xdr:row>
      <xdr:rowOff>0</xdr:rowOff>
    </xdr:from>
    <xdr:to>
      <xdr:col>13</xdr:col>
      <xdr:colOff>495300</xdr:colOff>
      <xdr:row>158</xdr:row>
      <xdr:rowOff>99060</xdr:rowOff>
    </xdr:to>
    <xdr:pic>
      <xdr:nvPicPr>
        <xdr:cNvPr id="165" name="Picture 164">
          <a:extLst>
            <a:ext uri="{FF2B5EF4-FFF2-40B4-BE49-F238E27FC236}">
              <a16:creationId xmlns:a16="http://schemas.microsoft.com/office/drawing/2014/main" id="{00000000-0008-0000-0000-0000A5000000}"/>
            </a:ext>
          </a:extLst>
        </xdr:cNvPr>
        <xdr:cNvPicPr>
          <a:picLocks noChangeAspect="1" noChangeArrowheads="1"/>
        </xdr:cNvPicPr>
      </xdr:nvPicPr>
      <xdr:blipFill>
        <a:blip xmlns:r="http://schemas.openxmlformats.org/officeDocument/2006/relationships" r:embed="rId3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3980000"/>
          <a:ext cx="3881967" cy="643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159</xdr:row>
      <xdr:rowOff>0</xdr:rowOff>
    </xdr:from>
    <xdr:to>
      <xdr:col>11</xdr:col>
      <xdr:colOff>518160</xdr:colOff>
      <xdr:row>160</xdr:row>
      <xdr:rowOff>160020</xdr:rowOff>
    </xdr:to>
    <xdr:pic>
      <xdr:nvPicPr>
        <xdr:cNvPr id="167" name="Picture 166">
          <a:extLst>
            <a:ext uri="{FF2B5EF4-FFF2-40B4-BE49-F238E27FC236}">
              <a16:creationId xmlns:a16="http://schemas.microsoft.com/office/drawing/2014/main" id="{00000000-0008-0000-0000-0000A7000000}"/>
            </a:ext>
          </a:extLst>
        </xdr:cNvPr>
        <xdr:cNvPicPr>
          <a:picLocks noChangeAspect="1" noChangeArrowheads="1"/>
        </xdr:cNvPicPr>
      </xdr:nvPicPr>
      <xdr:blipFill>
        <a:blip xmlns:r="http://schemas.openxmlformats.org/officeDocument/2006/relationships" r:embed="rId3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4705714"/>
          <a:ext cx="2622731" cy="341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161</xdr:row>
      <xdr:rowOff>0</xdr:rowOff>
    </xdr:from>
    <xdr:to>
      <xdr:col>11</xdr:col>
      <xdr:colOff>579120</xdr:colOff>
      <xdr:row>162</xdr:row>
      <xdr:rowOff>160020</xdr:rowOff>
    </xdr:to>
    <xdr:pic>
      <xdr:nvPicPr>
        <xdr:cNvPr id="168" name="Picture 167">
          <a:extLst>
            <a:ext uri="{FF2B5EF4-FFF2-40B4-BE49-F238E27FC236}">
              <a16:creationId xmlns:a16="http://schemas.microsoft.com/office/drawing/2014/main" id="{00000000-0008-0000-0000-0000A8000000}"/>
            </a:ext>
          </a:extLst>
        </xdr:cNvPr>
        <xdr:cNvPicPr>
          <a:picLocks noChangeAspect="1" noChangeArrowheads="1"/>
        </xdr:cNvPicPr>
      </xdr:nvPicPr>
      <xdr:blipFill>
        <a:blip xmlns:r="http://schemas.openxmlformats.org/officeDocument/2006/relationships" r:embed="rId3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5068571"/>
          <a:ext cx="2683691" cy="341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166</xdr:row>
      <xdr:rowOff>0</xdr:rowOff>
    </xdr:from>
    <xdr:to>
      <xdr:col>14</xdr:col>
      <xdr:colOff>579120</xdr:colOff>
      <xdr:row>168</xdr:row>
      <xdr:rowOff>7620</xdr:rowOff>
    </xdr:to>
    <xdr:pic>
      <xdr:nvPicPr>
        <xdr:cNvPr id="171" name="Picture 170">
          <a:extLst>
            <a:ext uri="{FF2B5EF4-FFF2-40B4-BE49-F238E27FC236}">
              <a16:creationId xmlns:a16="http://schemas.microsoft.com/office/drawing/2014/main" id="{00000000-0008-0000-0000-0000AB000000}"/>
            </a:ext>
          </a:extLst>
        </xdr:cNvPr>
        <xdr:cNvPicPr>
          <a:picLocks noChangeAspect="1" noChangeArrowheads="1"/>
        </xdr:cNvPicPr>
      </xdr:nvPicPr>
      <xdr:blipFill>
        <a:blip xmlns:r="http://schemas.openxmlformats.org/officeDocument/2006/relationships" r:embed="rId4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5975714"/>
          <a:ext cx="4606834" cy="3704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172</xdr:row>
      <xdr:rowOff>0</xdr:rowOff>
    </xdr:from>
    <xdr:to>
      <xdr:col>14</xdr:col>
      <xdr:colOff>548640</xdr:colOff>
      <xdr:row>174</xdr:row>
      <xdr:rowOff>7620</xdr:rowOff>
    </xdr:to>
    <xdr:pic>
      <xdr:nvPicPr>
        <xdr:cNvPr id="173" name="Picture 172">
          <a:extLst>
            <a:ext uri="{FF2B5EF4-FFF2-40B4-BE49-F238E27FC236}">
              <a16:creationId xmlns:a16="http://schemas.microsoft.com/office/drawing/2014/main" id="{00000000-0008-0000-0000-0000AD000000}"/>
            </a:ext>
          </a:extLst>
        </xdr:cNvPr>
        <xdr:cNvPicPr>
          <a:picLocks noChangeAspect="1" noChangeArrowheads="1"/>
        </xdr:cNvPicPr>
      </xdr:nvPicPr>
      <xdr:blipFill>
        <a:blip xmlns:r="http://schemas.openxmlformats.org/officeDocument/2006/relationships" r:embed="rId4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7064286"/>
          <a:ext cx="4576354" cy="3704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178</xdr:row>
      <xdr:rowOff>0</xdr:rowOff>
    </xdr:from>
    <xdr:to>
      <xdr:col>11</xdr:col>
      <xdr:colOff>30480</xdr:colOff>
      <xdr:row>179</xdr:row>
      <xdr:rowOff>160020</xdr:rowOff>
    </xdr:to>
    <xdr:pic>
      <xdr:nvPicPr>
        <xdr:cNvPr id="175" name="Picture 174">
          <a:extLst>
            <a:ext uri="{FF2B5EF4-FFF2-40B4-BE49-F238E27FC236}">
              <a16:creationId xmlns:a16="http://schemas.microsoft.com/office/drawing/2014/main" id="{00000000-0008-0000-0000-0000AF000000}"/>
            </a:ext>
          </a:extLst>
        </xdr:cNvPr>
        <xdr:cNvPicPr>
          <a:picLocks noChangeAspect="1" noChangeArrowheads="1"/>
        </xdr:cNvPicPr>
      </xdr:nvPicPr>
      <xdr:blipFill>
        <a:blip xmlns:r="http://schemas.openxmlformats.org/officeDocument/2006/relationships" r:embed="rId4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8152857"/>
          <a:ext cx="2135051" cy="341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180</xdr:row>
      <xdr:rowOff>0</xdr:rowOff>
    </xdr:from>
    <xdr:to>
      <xdr:col>10</xdr:col>
      <xdr:colOff>2049780</xdr:colOff>
      <xdr:row>181</xdr:row>
      <xdr:rowOff>160020</xdr:rowOff>
    </xdr:to>
    <xdr:pic>
      <xdr:nvPicPr>
        <xdr:cNvPr id="176" name="Picture 175">
          <a:extLst>
            <a:ext uri="{FF2B5EF4-FFF2-40B4-BE49-F238E27FC236}">
              <a16:creationId xmlns:a16="http://schemas.microsoft.com/office/drawing/2014/main" id="{00000000-0008-0000-0000-0000B0000000}"/>
            </a:ext>
          </a:extLst>
        </xdr:cNvPr>
        <xdr:cNvPicPr>
          <a:picLocks noChangeAspect="1" noChangeArrowheads="1"/>
        </xdr:cNvPicPr>
      </xdr:nvPicPr>
      <xdr:blipFill>
        <a:blip xmlns:r="http://schemas.openxmlformats.org/officeDocument/2006/relationships" r:embed="rId4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98515714"/>
          <a:ext cx="2049780" cy="341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125</xdr:row>
      <xdr:rowOff>0</xdr:rowOff>
    </xdr:from>
    <xdr:to>
      <xdr:col>11</xdr:col>
      <xdr:colOff>818030</xdr:colOff>
      <xdr:row>128</xdr:row>
      <xdr:rowOff>99060</xdr:rowOff>
    </xdr:to>
    <xdr:pic>
      <xdr:nvPicPr>
        <xdr:cNvPr id="185" name="Picture 184">
          <a:extLst>
            <a:ext uri="{FF2B5EF4-FFF2-40B4-BE49-F238E27FC236}">
              <a16:creationId xmlns:a16="http://schemas.microsoft.com/office/drawing/2014/main" id="{00000000-0008-0000-0000-0000B9000000}"/>
            </a:ext>
          </a:extLst>
        </xdr:cNvPr>
        <xdr:cNvPicPr>
          <a:picLocks noChangeAspect="1" noChangeArrowheads="1"/>
        </xdr:cNvPicPr>
      </xdr:nvPicPr>
      <xdr:blipFill rotWithShape="1">
        <a:blip xmlns:r="http://schemas.openxmlformats.org/officeDocument/2006/relationships" r:embed="rId78">
          <a:clrChange>
            <a:clrFrom>
              <a:srgbClr val="FFFFFF"/>
            </a:clrFrom>
            <a:clrTo>
              <a:srgbClr val="FFFFFF">
                <a:alpha val="0"/>
              </a:srgbClr>
            </a:clrTo>
          </a:clrChange>
          <a:extLst>
            <a:ext uri="{28A0092B-C50C-407E-A947-70E740481C1C}">
              <a14:useLocalDpi xmlns:a14="http://schemas.microsoft.com/office/drawing/2010/main" val="0"/>
            </a:ext>
          </a:extLst>
        </a:blip>
        <a:srcRect r="47548"/>
        <a:stretch/>
      </xdr:blipFill>
      <xdr:spPr bwMode="auto">
        <a:xfrm>
          <a:off x="9267265" y="23812500"/>
          <a:ext cx="2655794"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133</xdr:row>
      <xdr:rowOff>0</xdr:rowOff>
    </xdr:from>
    <xdr:to>
      <xdr:col>11</xdr:col>
      <xdr:colOff>795618</xdr:colOff>
      <xdr:row>136</xdr:row>
      <xdr:rowOff>99060</xdr:rowOff>
    </xdr:to>
    <xdr:pic>
      <xdr:nvPicPr>
        <xdr:cNvPr id="186" name="Picture 185">
          <a:extLst>
            <a:ext uri="{FF2B5EF4-FFF2-40B4-BE49-F238E27FC236}">
              <a16:creationId xmlns:a16="http://schemas.microsoft.com/office/drawing/2014/main" id="{00000000-0008-0000-0000-0000BA000000}"/>
            </a:ext>
          </a:extLst>
        </xdr:cNvPr>
        <xdr:cNvPicPr>
          <a:picLocks noChangeAspect="1" noChangeArrowheads="1"/>
        </xdr:cNvPicPr>
      </xdr:nvPicPr>
      <xdr:blipFill rotWithShape="1">
        <a:blip xmlns:r="http://schemas.openxmlformats.org/officeDocument/2006/relationships" r:embed="rId79">
          <a:clrChange>
            <a:clrFrom>
              <a:srgbClr val="FFFFFF"/>
            </a:clrFrom>
            <a:clrTo>
              <a:srgbClr val="FFFFFF">
                <a:alpha val="0"/>
              </a:srgbClr>
            </a:clrTo>
          </a:clrChange>
          <a:extLst>
            <a:ext uri="{28A0092B-C50C-407E-A947-70E740481C1C}">
              <a14:useLocalDpi xmlns:a14="http://schemas.microsoft.com/office/drawing/2010/main" val="0"/>
            </a:ext>
          </a:extLst>
        </a:blip>
        <a:srcRect r="49731"/>
        <a:stretch/>
      </xdr:blipFill>
      <xdr:spPr bwMode="auto">
        <a:xfrm>
          <a:off x="9267265" y="25336500"/>
          <a:ext cx="2633382"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0</xdr:colOff>
      <xdr:row>137</xdr:row>
      <xdr:rowOff>0</xdr:rowOff>
    </xdr:from>
    <xdr:to>
      <xdr:col>14</xdr:col>
      <xdr:colOff>112058</xdr:colOff>
      <xdr:row>138</xdr:row>
      <xdr:rowOff>11206</xdr:rowOff>
    </xdr:to>
    <xdr:pic>
      <xdr:nvPicPr>
        <xdr:cNvPr id="187" name="Picture 186">
          <a:extLst>
            <a:ext uri="{FF2B5EF4-FFF2-40B4-BE49-F238E27FC236}">
              <a16:creationId xmlns:a16="http://schemas.microsoft.com/office/drawing/2014/main" id="{00000000-0008-0000-0000-0000BB000000}"/>
            </a:ext>
          </a:extLst>
        </xdr:cNvPr>
        <xdr:cNvPicPr>
          <a:picLocks noChangeAspect="1" noChangeArrowheads="1"/>
        </xdr:cNvPicPr>
      </xdr:nvPicPr>
      <xdr:blipFill rotWithShape="1">
        <a:blip xmlns:r="http://schemas.openxmlformats.org/officeDocument/2006/relationships" r:embed="rId80">
          <a:clrChange>
            <a:clrFrom>
              <a:srgbClr val="FFFFFF"/>
            </a:clrFrom>
            <a:clrTo>
              <a:srgbClr val="FFFFFF">
                <a:alpha val="0"/>
              </a:srgbClr>
            </a:clrTo>
          </a:clrChange>
          <a:extLst>
            <a:ext uri="{28A0092B-C50C-407E-A947-70E740481C1C}">
              <a14:useLocalDpi xmlns:a14="http://schemas.microsoft.com/office/drawing/2010/main" val="0"/>
            </a:ext>
          </a:extLst>
        </a:blip>
        <a:srcRect r="65761" b="14611"/>
        <a:stretch/>
      </xdr:blipFill>
      <xdr:spPr bwMode="auto">
        <a:xfrm>
          <a:off x="11956676" y="26098500"/>
          <a:ext cx="1434353" cy="201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818029</xdr:colOff>
      <xdr:row>139</xdr:row>
      <xdr:rowOff>89647</xdr:rowOff>
    </xdr:from>
    <xdr:to>
      <xdr:col>14</xdr:col>
      <xdr:colOff>134470</xdr:colOff>
      <xdr:row>140</xdr:row>
      <xdr:rowOff>134471</xdr:rowOff>
    </xdr:to>
    <xdr:pic>
      <xdr:nvPicPr>
        <xdr:cNvPr id="188" name="Picture 187">
          <a:extLst>
            <a:ext uri="{FF2B5EF4-FFF2-40B4-BE49-F238E27FC236}">
              <a16:creationId xmlns:a16="http://schemas.microsoft.com/office/drawing/2014/main" id="{00000000-0008-0000-0000-0000BC000000}"/>
            </a:ext>
          </a:extLst>
        </xdr:cNvPr>
        <xdr:cNvPicPr>
          <a:picLocks noChangeAspect="1" noChangeArrowheads="1"/>
        </xdr:cNvPicPr>
      </xdr:nvPicPr>
      <xdr:blipFill rotWithShape="1">
        <a:blip xmlns:r="http://schemas.openxmlformats.org/officeDocument/2006/relationships" r:embed="rId81">
          <a:clrChange>
            <a:clrFrom>
              <a:srgbClr val="FFFFFF"/>
            </a:clrFrom>
            <a:clrTo>
              <a:srgbClr val="FFFFFF">
                <a:alpha val="0"/>
              </a:srgbClr>
            </a:clrTo>
          </a:clrChange>
          <a:extLst>
            <a:ext uri="{28A0092B-C50C-407E-A947-70E740481C1C}">
              <a14:useLocalDpi xmlns:a14="http://schemas.microsoft.com/office/drawing/2010/main" val="0"/>
            </a:ext>
          </a:extLst>
        </a:blip>
        <a:srcRect t="1" r="67765" b="379"/>
        <a:stretch/>
      </xdr:blipFill>
      <xdr:spPr bwMode="auto">
        <a:xfrm>
          <a:off x="11923058" y="26569147"/>
          <a:ext cx="1490383" cy="235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448236</xdr:colOff>
      <xdr:row>160</xdr:row>
      <xdr:rowOff>0</xdr:rowOff>
    </xdr:from>
    <xdr:to>
      <xdr:col>14</xdr:col>
      <xdr:colOff>1187823</xdr:colOff>
      <xdr:row>161</xdr:row>
      <xdr:rowOff>11206</xdr:rowOff>
    </xdr:to>
    <xdr:pic>
      <xdr:nvPicPr>
        <xdr:cNvPr id="191" name="Picture 190">
          <a:extLst>
            <a:ext uri="{FF2B5EF4-FFF2-40B4-BE49-F238E27FC236}">
              <a16:creationId xmlns:a16="http://schemas.microsoft.com/office/drawing/2014/main" id="{00000000-0008-0000-0000-0000BF000000}"/>
            </a:ext>
          </a:extLst>
        </xdr:cNvPr>
        <xdr:cNvPicPr>
          <a:picLocks noChangeAspect="1" noChangeArrowheads="1"/>
        </xdr:cNvPicPr>
      </xdr:nvPicPr>
      <xdr:blipFill rotWithShape="1">
        <a:blip xmlns:r="http://schemas.openxmlformats.org/officeDocument/2006/relationships" r:embed="rId82">
          <a:clrChange>
            <a:clrFrom>
              <a:srgbClr val="FFFFFF"/>
            </a:clrFrom>
            <a:clrTo>
              <a:srgbClr val="FFFFFF">
                <a:alpha val="0"/>
              </a:srgbClr>
            </a:clrTo>
          </a:clrChange>
          <a:extLst>
            <a:ext uri="{28A0092B-C50C-407E-A947-70E740481C1C}">
              <a14:useLocalDpi xmlns:a14="http://schemas.microsoft.com/office/drawing/2010/main" val="0"/>
            </a:ext>
          </a:extLst>
        </a:blip>
        <a:srcRect r="65427" b="14611"/>
        <a:stretch/>
      </xdr:blipFill>
      <xdr:spPr bwMode="auto">
        <a:xfrm>
          <a:off x="12404912" y="30480000"/>
          <a:ext cx="2061882" cy="201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0</xdr:colOff>
      <xdr:row>162</xdr:row>
      <xdr:rowOff>0</xdr:rowOff>
    </xdr:from>
    <xdr:to>
      <xdr:col>14</xdr:col>
      <xdr:colOff>1210235</xdr:colOff>
      <xdr:row>163</xdr:row>
      <xdr:rowOff>33618</xdr:rowOff>
    </xdr:to>
    <xdr:pic>
      <xdr:nvPicPr>
        <xdr:cNvPr id="192" name="Picture 191">
          <a:extLst>
            <a:ext uri="{FF2B5EF4-FFF2-40B4-BE49-F238E27FC236}">
              <a16:creationId xmlns:a16="http://schemas.microsoft.com/office/drawing/2014/main" id="{00000000-0008-0000-0000-0000C0000000}"/>
            </a:ext>
          </a:extLst>
        </xdr:cNvPr>
        <xdr:cNvPicPr>
          <a:picLocks noChangeAspect="1" noChangeArrowheads="1"/>
        </xdr:cNvPicPr>
      </xdr:nvPicPr>
      <xdr:blipFill rotWithShape="1">
        <a:blip xmlns:r="http://schemas.openxmlformats.org/officeDocument/2006/relationships" r:embed="rId83">
          <a:clrChange>
            <a:clrFrom>
              <a:srgbClr val="FFFFFF"/>
            </a:clrFrom>
            <a:clrTo>
              <a:srgbClr val="FFFFFF">
                <a:alpha val="0"/>
              </a:srgbClr>
            </a:clrTo>
          </a:clrChange>
          <a:extLst>
            <a:ext uri="{28A0092B-C50C-407E-A947-70E740481C1C}">
              <a14:useLocalDpi xmlns:a14="http://schemas.microsoft.com/office/drawing/2010/main" val="0"/>
            </a:ext>
          </a:extLst>
        </a:blip>
        <a:srcRect r="67370" b="5123"/>
        <a:stretch/>
      </xdr:blipFill>
      <xdr:spPr bwMode="auto">
        <a:xfrm>
          <a:off x="12617824" y="30861000"/>
          <a:ext cx="1871382" cy="224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616324</xdr:colOff>
      <xdr:row>168</xdr:row>
      <xdr:rowOff>0</xdr:rowOff>
    </xdr:from>
    <xdr:to>
      <xdr:col>14</xdr:col>
      <xdr:colOff>1185134</xdr:colOff>
      <xdr:row>171</xdr:row>
      <xdr:rowOff>99060</xdr:rowOff>
    </xdr:to>
    <xdr:pic>
      <xdr:nvPicPr>
        <xdr:cNvPr id="193" name="Picture 192">
          <a:extLst>
            <a:ext uri="{FF2B5EF4-FFF2-40B4-BE49-F238E27FC236}">
              <a16:creationId xmlns:a16="http://schemas.microsoft.com/office/drawing/2014/main" id="{00000000-0008-0000-0000-0000C1000000}"/>
            </a:ext>
          </a:extLst>
        </xdr:cNvPr>
        <xdr:cNvPicPr>
          <a:picLocks noChangeAspect="1" noChangeArrowheads="1"/>
        </xdr:cNvPicPr>
      </xdr:nvPicPr>
      <xdr:blipFill>
        <a:blip xmlns:r="http://schemas.openxmlformats.org/officeDocument/2006/relationships" r:embed="rId8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56059" y="32004000"/>
          <a:ext cx="5208046" cy="6593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174</xdr:row>
      <xdr:rowOff>0</xdr:rowOff>
    </xdr:from>
    <xdr:to>
      <xdr:col>14</xdr:col>
      <xdr:colOff>1165860</xdr:colOff>
      <xdr:row>177</xdr:row>
      <xdr:rowOff>99060</xdr:rowOff>
    </xdr:to>
    <xdr:pic>
      <xdr:nvPicPr>
        <xdr:cNvPr id="194" name="Picture 193">
          <a:extLst>
            <a:ext uri="{FF2B5EF4-FFF2-40B4-BE49-F238E27FC236}">
              <a16:creationId xmlns:a16="http://schemas.microsoft.com/office/drawing/2014/main" id="{00000000-0008-0000-0000-0000C2000000}"/>
            </a:ext>
          </a:extLst>
        </xdr:cNvPr>
        <xdr:cNvPicPr>
          <a:picLocks noChangeAspect="1" noChangeArrowheads="1"/>
        </xdr:cNvPicPr>
      </xdr:nvPicPr>
      <xdr:blipFill>
        <a:blip xmlns:r="http://schemas.openxmlformats.org/officeDocument/2006/relationships" r:embed="rId8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31821120"/>
          <a:ext cx="514350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0</xdr:colOff>
      <xdr:row>179</xdr:row>
      <xdr:rowOff>0</xdr:rowOff>
    </xdr:from>
    <xdr:to>
      <xdr:col>17</xdr:col>
      <xdr:colOff>45720</xdr:colOff>
      <xdr:row>180</xdr:row>
      <xdr:rowOff>45720</xdr:rowOff>
    </xdr:to>
    <xdr:pic>
      <xdr:nvPicPr>
        <xdr:cNvPr id="195" name="Picture 194">
          <a:extLst>
            <a:ext uri="{FF2B5EF4-FFF2-40B4-BE49-F238E27FC236}">
              <a16:creationId xmlns:a16="http://schemas.microsoft.com/office/drawing/2014/main" id="{00000000-0008-0000-0000-0000C3000000}"/>
            </a:ext>
          </a:extLst>
        </xdr:cNvPr>
        <xdr:cNvPicPr>
          <a:picLocks noChangeAspect="1" noChangeArrowheads="1"/>
        </xdr:cNvPicPr>
      </xdr:nvPicPr>
      <xdr:blipFill>
        <a:blip xmlns:r="http://schemas.openxmlformats.org/officeDocument/2006/relationships" r:embed="rId8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1910060" y="32735520"/>
          <a:ext cx="4579620"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0</xdr:colOff>
      <xdr:row>181</xdr:row>
      <xdr:rowOff>0</xdr:rowOff>
    </xdr:from>
    <xdr:to>
      <xdr:col>16</xdr:col>
      <xdr:colOff>441960</xdr:colOff>
      <xdr:row>182</xdr:row>
      <xdr:rowOff>45720</xdr:rowOff>
    </xdr:to>
    <xdr:pic>
      <xdr:nvPicPr>
        <xdr:cNvPr id="196" name="Picture 195">
          <a:extLst>
            <a:ext uri="{FF2B5EF4-FFF2-40B4-BE49-F238E27FC236}">
              <a16:creationId xmlns:a16="http://schemas.microsoft.com/office/drawing/2014/main" id="{00000000-0008-0000-0000-0000C4000000}"/>
            </a:ext>
          </a:extLst>
        </xdr:cNvPr>
        <xdr:cNvPicPr>
          <a:picLocks noChangeAspect="1" noChangeArrowheads="1"/>
        </xdr:cNvPicPr>
      </xdr:nvPicPr>
      <xdr:blipFill>
        <a:blip xmlns:r="http://schemas.openxmlformats.org/officeDocument/2006/relationships" r:embed="rId8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1910060" y="33101280"/>
          <a:ext cx="4335780"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184</xdr:row>
      <xdr:rowOff>0</xdr:rowOff>
    </xdr:from>
    <xdr:to>
      <xdr:col>14</xdr:col>
      <xdr:colOff>792480</xdr:colOff>
      <xdr:row>186</xdr:row>
      <xdr:rowOff>38100</xdr:rowOff>
    </xdr:to>
    <xdr:pic>
      <xdr:nvPicPr>
        <xdr:cNvPr id="197" name="Picture 196">
          <a:extLst>
            <a:ext uri="{FF2B5EF4-FFF2-40B4-BE49-F238E27FC236}">
              <a16:creationId xmlns:a16="http://schemas.microsoft.com/office/drawing/2014/main" id="{00000000-0008-0000-0000-0000C5000000}"/>
            </a:ext>
          </a:extLst>
        </xdr:cNvPr>
        <xdr:cNvPicPr>
          <a:picLocks noChangeAspect="1" noChangeArrowheads="1"/>
        </xdr:cNvPicPr>
      </xdr:nvPicPr>
      <xdr:blipFill>
        <a:blip xmlns:r="http://schemas.openxmlformats.org/officeDocument/2006/relationships" r:embed="rId8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33649920"/>
          <a:ext cx="4770120"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186</xdr:row>
      <xdr:rowOff>0</xdr:rowOff>
    </xdr:from>
    <xdr:to>
      <xdr:col>14</xdr:col>
      <xdr:colOff>792480</xdr:colOff>
      <xdr:row>188</xdr:row>
      <xdr:rowOff>38100</xdr:rowOff>
    </xdr:to>
    <xdr:pic>
      <xdr:nvPicPr>
        <xdr:cNvPr id="198" name="Picture 197">
          <a:extLst>
            <a:ext uri="{FF2B5EF4-FFF2-40B4-BE49-F238E27FC236}">
              <a16:creationId xmlns:a16="http://schemas.microsoft.com/office/drawing/2014/main" id="{00000000-0008-0000-0000-0000C6000000}"/>
            </a:ext>
          </a:extLst>
        </xdr:cNvPr>
        <xdr:cNvPicPr>
          <a:picLocks noChangeAspect="1" noChangeArrowheads="1"/>
        </xdr:cNvPicPr>
      </xdr:nvPicPr>
      <xdr:blipFill>
        <a:blip xmlns:r="http://schemas.openxmlformats.org/officeDocument/2006/relationships" r:embed="rId8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34015680"/>
          <a:ext cx="4770120"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188</xdr:row>
      <xdr:rowOff>0</xdr:rowOff>
    </xdr:from>
    <xdr:to>
      <xdr:col>14</xdr:col>
      <xdr:colOff>762000</xdr:colOff>
      <xdr:row>190</xdr:row>
      <xdr:rowOff>38100</xdr:rowOff>
    </xdr:to>
    <xdr:pic>
      <xdr:nvPicPr>
        <xdr:cNvPr id="199" name="Picture 198">
          <a:extLst>
            <a:ext uri="{FF2B5EF4-FFF2-40B4-BE49-F238E27FC236}">
              <a16:creationId xmlns:a16="http://schemas.microsoft.com/office/drawing/2014/main" id="{00000000-0008-0000-0000-0000C7000000}"/>
            </a:ext>
          </a:extLst>
        </xdr:cNvPr>
        <xdr:cNvPicPr>
          <a:picLocks noChangeAspect="1" noChangeArrowheads="1"/>
        </xdr:cNvPicPr>
      </xdr:nvPicPr>
      <xdr:blipFill>
        <a:blip xmlns:r="http://schemas.openxmlformats.org/officeDocument/2006/relationships" r:embed="rId9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34381440"/>
          <a:ext cx="4739640"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190</xdr:row>
      <xdr:rowOff>0</xdr:rowOff>
    </xdr:from>
    <xdr:to>
      <xdr:col>14</xdr:col>
      <xdr:colOff>762000</xdr:colOff>
      <xdr:row>192</xdr:row>
      <xdr:rowOff>38100</xdr:rowOff>
    </xdr:to>
    <xdr:pic>
      <xdr:nvPicPr>
        <xdr:cNvPr id="200" name="Picture 199">
          <a:extLst>
            <a:ext uri="{FF2B5EF4-FFF2-40B4-BE49-F238E27FC236}">
              <a16:creationId xmlns:a16="http://schemas.microsoft.com/office/drawing/2014/main" id="{00000000-0008-0000-0000-0000C8000000}"/>
            </a:ext>
          </a:extLst>
        </xdr:cNvPr>
        <xdr:cNvPicPr>
          <a:picLocks noChangeAspect="1" noChangeArrowheads="1"/>
        </xdr:cNvPicPr>
      </xdr:nvPicPr>
      <xdr:blipFill>
        <a:blip xmlns:r="http://schemas.openxmlformats.org/officeDocument/2006/relationships" r:embed="rId9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34747200"/>
          <a:ext cx="4739640"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192</xdr:row>
      <xdr:rowOff>0</xdr:rowOff>
    </xdr:from>
    <xdr:to>
      <xdr:col>14</xdr:col>
      <xdr:colOff>815340</xdr:colOff>
      <xdr:row>194</xdr:row>
      <xdr:rowOff>38100</xdr:rowOff>
    </xdr:to>
    <xdr:pic>
      <xdr:nvPicPr>
        <xdr:cNvPr id="201" name="Picture 200">
          <a:extLst>
            <a:ext uri="{FF2B5EF4-FFF2-40B4-BE49-F238E27FC236}">
              <a16:creationId xmlns:a16="http://schemas.microsoft.com/office/drawing/2014/main" id="{00000000-0008-0000-0000-0000C9000000}"/>
            </a:ext>
          </a:extLst>
        </xdr:cNvPr>
        <xdr:cNvPicPr>
          <a:picLocks noChangeAspect="1" noChangeArrowheads="1"/>
        </xdr:cNvPicPr>
      </xdr:nvPicPr>
      <xdr:blipFill>
        <a:blip xmlns:r="http://schemas.openxmlformats.org/officeDocument/2006/relationships" r:embed="rId9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35112960"/>
          <a:ext cx="4792980"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194</xdr:row>
      <xdr:rowOff>0</xdr:rowOff>
    </xdr:from>
    <xdr:to>
      <xdr:col>14</xdr:col>
      <xdr:colOff>815340</xdr:colOff>
      <xdr:row>196</xdr:row>
      <xdr:rowOff>38100</xdr:rowOff>
    </xdr:to>
    <xdr:pic>
      <xdr:nvPicPr>
        <xdr:cNvPr id="202" name="Picture 201">
          <a:extLst>
            <a:ext uri="{FF2B5EF4-FFF2-40B4-BE49-F238E27FC236}">
              <a16:creationId xmlns:a16="http://schemas.microsoft.com/office/drawing/2014/main" id="{00000000-0008-0000-0000-0000CA000000}"/>
            </a:ext>
          </a:extLst>
        </xdr:cNvPr>
        <xdr:cNvPicPr>
          <a:picLocks noChangeAspect="1" noChangeArrowheads="1"/>
        </xdr:cNvPicPr>
      </xdr:nvPicPr>
      <xdr:blipFill>
        <a:blip xmlns:r="http://schemas.openxmlformats.org/officeDocument/2006/relationships" r:embed="rId9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35478720"/>
          <a:ext cx="4792980"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10</xdr:col>
      <xdr:colOff>0</xdr:colOff>
      <xdr:row>200</xdr:row>
      <xdr:rowOff>0</xdr:rowOff>
    </xdr:from>
    <xdr:ext cx="2796782" cy="1577477"/>
    <xdr:pic>
      <xdr:nvPicPr>
        <xdr:cNvPr id="203" name="Picture 202">
          <a:extLst>
            <a:ext uri="{FF2B5EF4-FFF2-40B4-BE49-F238E27FC236}">
              <a16:creationId xmlns:a16="http://schemas.microsoft.com/office/drawing/2014/main" id="{00000000-0008-0000-0000-0000CB000000}"/>
            </a:ext>
          </a:extLst>
        </xdr:cNvPr>
        <xdr:cNvPicPr>
          <a:picLocks noChangeAspect="1"/>
        </xdr:cNvPicPr>
      </xdr:nvPicPr>
      <xdr:blipFill>
        <a:blip xmlns:r="http://schemas.openxmlformats.org/officeDocument/2006/relationships" r:embed="rId58"/>
        <a:stretch>
          <a:fillRect/>
        </a:stretch>
      </xdr:blipFill>
      <xdr:spPr>
        <a:xfrm>
          <a:off x="0" y="101974952"/>
          <a:ext cx="2796782" cy="1577477"/>
        </a:xfrm>
        <a:prstGeom prst="rect">
          <a:avLst/>
        </a:prstGeom>
      </xdr:spPr>
    </xdr:pic>
    <xdr:clientData/>
  </xdr:oneCellAnchor>
  <xdr:oneCellAnchor>
    <xdr:from>
      <xdr:col>10</xdr:col>
      <xdr:colOff>0</xdr:colOff>
      <xdr:row>210</xdr:row>
      <xdr:rowOff>0</xdr:rowOff>
    </xdr:from>
    <xdr:ext cx="2796782" cy="2827265"/>
    <xdr:pic>
      <xdr:nvPicPr>
        <xdr:cNvPr id="204" name="Picture 203">
          <a:extLst>
            <a:ext uri="{FF2B5EF4-FFF2-40B4-BE49-F238E27FC236}">
              <a16:creationId xmlns:a16="http://schemas.microsoft.com/office/drawing/2014/main" id="{00000000-0008-0000-0000-0000CC000000}"/>
            </a:ext>
          </a:extLst>
        </xdr:cNvPr>
        <xdr:cNvPicPr>
          <a:picLocks noChangeAspect="1"/>
        </xdr:cNvPicPr>
      </xdr:nvPicPr>
      <xdr:blipFill>
        <a:blip xmlns:r="http://schemas.openxmlformats.org/officeDocument/2006/relationships" r:embed="rId59"/>
        <a:stretch>
          <a:fillRect/>
        </a:stretch>
      </xdr:blipFill>
      <xdr:spPr>
        <a:xfrm>
          <a:off x="0" y="103789238"/>
          <a:ext cx="2796782" cy="2827265"/>
        </a:xfrm>
        <a:prstGeom prst="rect">
          <a:avLst/>
        </a:prstGeom>
      </xdr:spPr>
    </xdr:pic>
    <xdr:clientData/>
  </xdr:oneCellAnchor>
  <xdr:twoCellAnchor>
    <xdr:from>
      <xdr:col>10</xdr:col>
      <xdr:colOff>0</xdr:colOff>
      <xdr:row>232</xdr:row>
      <xdr:rowOff>0</xdr:rowOff>
    </xdr:from>
    <xdr:to>
      <xdr:col>15</xdr:col>
      <xdr:colOff>53340</xdr:colOff>
      <xdr:row>235</xdr:row>
      <xdr:rowOff>30480</xdr:rowOff>
    </xdr:to>
    <xdr:pic>
      <xdr:nvPicPr>
        <xdr:cNvPr id="205" name="Picture 204">
          <a:extLst>
            <a:ext uri="{FF2B5EF4-FFF2-40B4-BE49-F238E27FC236}">
              <a16:creationId xmlns:a16="http://schemas.microsoft.com/office/drawing/2014/main" id="{00000000-0008-0000-0000-0000CD000000}"/>
            </a:ext>
          </a:extLst>
        </xdr:cNvPr>
        <xdr:cNvPicPr>
          <a:picLocks noChangeAspect="1" noChangeArrowheads="1"/>
        </xdr:cNvPicPr>
      </xdr:nvPicPr>
      <xdr:blipFill>
        <a:blip xmlns:r="http://schemas.openxmlformats.org/officeDocument/2006/relationships" r:embed="rId6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107780667"/>
          <a:ext cx="5943721" cy="5747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240</xdr:row>
      <xdr:rowOff>0</xdr:rowOff>
    </xdr:from>
    <xdr:to>
      <xdr:col>15</xdr:col>
      <xdr:colOff>53340</xdr:colOff>
      <xdr:row>243</xdr:row>
      <xdr:rowOff>30480</xdr:rowOff>
    </xdr:to>
    <xdr:pic>
      <xdr:nvPicPr>
        <xdr:cNvPr id="206" name="Picture 205">
          <a:extLst>
            <a:ext uri="{FF2B5EF4-FFF2-40B4-BE49-F238E27FC236}">
              <a16:creationId xmlns:a16="http://schemas.microsoft.com/office/drawing/2014/main" id="{00000000-0008-0000-0000-0000CE000000}"/>
            </a:ext>
          </a:extLst>
        </xdr:cNvPr>
        <xdr:cNvPicPr>
          <a:picLocks noChangeAspect="1" noChangeArrowheads="1"/>
        </xdr:cNvPicPr>
      </xdr:nvPicPr>
      <xdr:blipFill>
        <a:blip xmlns:r="http://schemas.openxmlformats.org/officeDocument/2006/relationships" r:embed="rId6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109232095"/>
          <a:ext cx="5943721" cy="574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236</xdr:row>
      <xdr:rowOff>0</xdr:rowOff>
    </xdr:from>
    <xdr:to>
      <xdr:col>15</xdr:col>
      <xdr:colOff>53340</xdr:colOff>
      <xdr:row>239</xdr:row>
      <xdr:rowOff>30480</xdr:rowOff>
    </xdr:to>
    <xdr:pic>
      <xdr:nvPicPr>
        <xdr:cNvPr id="207" name="Picture 206">
          <a:extLst>
            <a:ext uri="{FF2B5EF4-FFF2-40B4-BE49-F238E27FC236}">
              <a16:creationId xmlns:a16="http://schemas.microsoft.com/office/drawing/2014/main" id="{00000000-0008-0000-0000-0000CF000000}"/>
            </a:ext>
          </a:extLst>
        </xdr:cNvPr>
        <xdr:cNvPicPr>
          <a:picLocks noChangeAspect="1" noChangeArrowheads="1"/>
        </xdr:cNvPicPr>
      </xdr:nvPicPr>
      <xdr:blipFill>
        <a:blip xmlns:r="http://schemas.openxmlformats.org/officeDocument/2006/relationships" r:embed="rId6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0" y="108506381"/>
          <a:ext cx="5943721" cy="574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245</xdr:row>
      <xdr:rowOff>0</xdr:rowOff>
    </xdr:from>
    <xdr:to>
      <xdr:col>14</xdr:col>
      <xdr:colOff>1615440</xdr:colOff>
      <xdr:row>247</xdr:row>
      <xdr:rowOff>76200</xdr:rowOff>
    </xdr:to>
    <xdr:pic>
      <xdr:nvPicPr>
        <xdr:cNvPr id="214" name="Picture 213">
          <a:extLst>
            <a:ext uri="{FF2B5EF4-FFF2-40B4-BE49-F238E27FC236}">
              <a16:creationId xmlns:a16="http://schemas.microsoft.com/office/drawing/2014/main" id="{00000000-0008-0000-0000-0000D6000000}"/>
            </a:ext>
          </a:extLst>
        </xdr:cNvPr>
        <xdr:cNvPicPr>
          <a:picLocks noChangeAspect="1" noChangeArrowheads="1"/>
        </xdr:cNvPicPr>
      </xdr:nvPicPr>
      <xdr:blipFill>
        <a:blip xmlns:r="http://schemas.openxmlformats.org/officeDocument/2006/relationships" r:embed="rId9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44805600"/>
          <a:ext cx="559308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248</xdr:row>
      <xdr:rowOff>0</xdr:rowOff>
    </xdr:from>
    <xdr:to>
      <xdr:col>14</xdr:col>
      <xdr:colOff>1531620</xdr:colOff>
      <xdr:row>250</xdr:row>
      <xdr:rowOff>76200</xdr:rowOff>
    </xdr:to>
    <xdr:pic>
      <xdr:nvPicPr>
        <xdr:cNvPr id="215" name="Picture 214">
          <a:extLst>
            <a:ext uri="{FF2B5EF4-FFF2-40B4-BE49-F238E27FC236}">
              <a16:creationId xmlns:a16="http://schemas.microsoft.com/office/drawing/2014/main" id="{00000000-0008-0000-0000-0000D7000000}"/>
            </a:ext>
          </a:extLst>
        </xdr:cNvPr>
        <xdr:cNvPicPr>
          <a:picLocks noChangeAspect="1" noChangeArrowheads="1"/>
        </xdr:cNvPicPr>
      </xdr:nvPicPr>
      <xdr:blipFill>
        <a:blip xmlns:r="http://schemas.openxmlformats.org/officeDocument/2006/relationships" r:embed="rId9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45354240"/>
          <a:ext cx="550926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251</xdr:row>
      <xdr:rowOff>0</xdr:rowOff>
    </xdr:from>
    <xdr:to>
      <xdr:col>14</xdr:col>
      <xdr:colOff>1615440</xdr:colOff>
      <xdr:row>253</xdr:row>
      <xdr:rowOff>76200</xdr:rowOff>
    </xdr:to>
    <xdr:pic>
      <xdr:nvPicPr>
        <xdr:cNvPr id="216" name="Picture 215">
          <a:extLst>
            <a:ext uri="{FF2B5EF4-FFF2-40B4-BE49-F238E27FC236}">
              <a16:creationId xmlns:a16="http://schemas.microsoft.com/office/drawing/2014/main" id="{00000000-0008-0000-0000-0000D8000000}"/>
            </a:ext>
          </a:extLst>
        </xdr:cNvPr>
        <xdr:cNvPicPr>
          <a:picLocks noChangeAspect="1" noChangeArrowheads="1"/>
        </xdr:cNvPicPr>
      </xdr:nvPicPr>
      <xdr:blipFill>
        <a:blip xmlns:r="http://schemas.openxmlformats.org/officeDocument/2006/relationships" r:embed="rId9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45902880"/>
          <a:ext cx="559308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254</xdr:row>
      <xdr:rowOff>0</xdr:rowOff>
    </xdr:from>
    <xdr:to>
      <xdr:col>14</xdr:col>
      <xdr:colOff>1706880</xdr:colOff>
      <xdr:row>256</xdr:row>
      <xdr:rowOff>76200</xdr:rowOff>
    </xdr:to>
    <xdr:pic>
      <xdr:nvPicPr>
        <xdr:cNvPr id="217" name="Picture 216">
          <a:extLst>
            <a:ext uri="{FF2B5EF4-FFF2-40B4-BE49-F238E27FC236}">
              <a16:creationId xmlns:a16="http://schemas.microsoft.com/office/drawing/2014/main" id="{00000000-0008-0000-0000-0000D9000000}"/>
            </a:ext>
          </a:extLst>
        </xdr:cNvPr>
        <xdr:cNvPicPr>
          <a:picLocks noChangeAspect="1" noChangeArrowheads="1"/>
        </xdr:cNvPicPr>
      </xdr:nvPicPr>
      <xdr:blipFill>
        <a:blip xmlns:r="http://schemas.openxmlformats.org/officeDocument/2006/relationships" r:embed="rId9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46451520"/>
          <a:ext cx="568452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257</xdr:row>
      <xdr:rowOff>0</xdr:rowOff>
    </xdr:from>
    <xdr:to>
      <xdr:col>14</xdr:col>
      <xdr:colOff>1531620</xdr:colOff>
      <xdr:row>259</xdr:row>
      <xdr:rowOff>76200</xdr:rowOff>
    </xdr:to>
    <xdr:pic>
      <xdr:nvPicPr>
        <xdr:cNvPr id="218" name="Picture 217">
          <a:extLst>
            <a:ext uri="{FF2B5EF4-FFF2-40B4-BE49-F238E27FC236}">
              <a16:creationId xmlns:a16="http://schemas.microsoft.com/office/drawing/2014/main" id="{00000000-0008-0000-0000-0000DA000000}"/>
            </a:ext>
          </a:extLst>
        </xdr:cNvPr>
        <xdr:cNvPicPr>
          <a:picLocks noChangeAspect="1" noChangeArrowheads="1"/>
        </xdr:cNvPicPr>
      </xdr:nvPicPr>
      <xdr:blipFill>
        <a:blip xmlns:r="http://schemas.openxmlformats.org/officeDocument/2006/relationships" r:embed="rId9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47000160"/>
          <a:ext cx="550926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260</xdr:row>
      <xdr:rowOff>0</xdr:rowOff>
    </xdr:from>
    <xdr:to>
      <xdr:col>14</xdr:col>
      <xdr:colOff>1615440</xdr:colOff>
      <xdr:row>262</xdr:row>
      <xdr:rowOff>76200</xdr:rowOff>
    </xdr:to>
    <xdr:pic>
      <xdr:nvPicPr>
        <xdr:cNvPr id="219" name="Picture 218">
          <a:extLst>
            <a:ext uri="{FF2B5EF4-FFF2-40B4-BE49-F238E27FC236}">
              <a16:creationId xmlns:a16="http://schemas.microsoft.com/office/drawing/2014/main" id="{00000000-0008-0000-0000-0000DB000000}"/>
            </a:ext>
          </a:extLst>
        </xdr:cNvPr>
        <xdr:cNvPicPr>
          <a:picLocks noChangeAspect="1" noChangeArrowheads="1"/>
        </xdr:cNvPicPr>
      </xdr:nvPicPr>
      <xdr:blipFill>
        <a:blip xmlns:r="http://schemas.openxmlformats.org/officeDocument/2006/relationships" r:embed="rId9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47548800"/>
          <a:ext cx="559308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265</xdr:row>
      <xdr:rowOff>0</xdr:rowOff>
    </xdr:from>
    <xdr:to>
      <xdr:col>14</xdr:col>
      <xdr:colOff>486373</xdr:colOff>
      <xdr:row>296</xdr:row>
      <xdr:rowOff>53106</xdr:rowOff>
    </xdr:to>
    <xdr:pic>
      <xdr:nvPicPr>
        <xdr:cNvPr id="220" name="Picture 219">
          <a:extLst>
            <a:ext uri="{FF2B5EF4-FFF2-40B4-BE49-F238E27FC236}">
              <a16:creationId xmlns:a16="http://schemas.microsoft.com/office/drawing/2014/main" id="{00000000-0008-0000-0000-0000DC000000}"/>
            </a:ext>
          </a:extLst>
        </xdr:cNvPr>
        <xdr:cNvPicPr>
          <a:picLocks noChangeAspect="1"/>
        </xdr:cNvPicPr>
      </xdr:nvPicPr>
      <xdr:blipFill>
        <a:blip xmlns:r="http://schemas.openxmlformats.org/officeDocument/2006/relationships" r:embed="rId100"/>
        <a:stretch>
          <a:fillRect/>
        </a:stretch>
      </xdr:blipFill>
      <xdr:spPr>
        <a:xfrm>
          <a:off x="9204476" y="48078571"/>
          <a:ext cx="4465707" cy="5677392"/>
        </a:xfrm>
        <a:prstGeom prst="rect">
          <a:avLst/>
        </a:prstGeom>
      </xdr:spPr>
    </xdr:pic>
    <xdr:clientData/>
  </xdr:twoCellAnchor>
  <xdr:twoCellAnchor editAs="oneCell">
    <xdr:from>
      <xdr:col>10</xdr:col>
      <xdr:colOff>62755</xdr:colOff>
      <xdr:row>299</xdr:row>
      <xdr:rowOff>0</xdr:rowOff>
    </xdr:from>
    <xdr:to>
      <xdr:col>14</xdr:col>
      <xdr:colOff>488511</xdr:colOff>
      <xdr:row>324</xdr:row>
      <xdr:rowOff>143388</xdr:rowOff>
    </xdr:to>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101"/>
        <a:stretch>
          <a:fillRect/>
        </a:stretch>
      </xdr:blipFill>
      <xdr:spPr>
        <a:xfrm>
          <a:off x="9269508" y="53608941"/>
          <a:ext cx="4397121" cy="4625741"/>
        </a:xfrm>
        <a:prstGeom prst="rect">
          <a:avLst/>
        </a:prstGeom>
      </xdr:spPr>
    </xdr:pic>
    <xdr:clientData/>
  </xdr:twoCellAnchor>
  <xdr:twoCellAnchor editAs="oneCell">
    <xdr:from>
      <xdr:col>10</xdr:col>
      <xdr:colOff>44825</xdr:colOff>
      <xdr:row>330</xdr:row>
      <xdr:rowOff>35860</xdr:rowOff>
    </xdr:from>
    <xdr:to>
      <xdr:col>14</xdr:col>
      <xdr:colOff>965924</xdr:colOff>
      <xdr:row>362</xdr:row>
      <xdr:rowOff>166356</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02"/>
        <a:stretch>
          <a:fillRect/>
        </a:stretch>
      </xdr:blipFill>
      <xdr:spPr>
        <a:xfrm>
          <a:off x="9251578" y="59202919"/>
          <a:ext cx="4892464" cy="5867908"/>
        </a:xfrm>
        <a:prstGeom prst="rect">
          <a:avLst/>
        </a:prstGeom>
      </xdr:spPr>
    </xdr:pic>
    <xdr:clientData/>
  </xdr:twoCellAnchor>
  <xdr:twoCellAnchor editAs="oneCell">
    <xdr:from>
      <xdr:col>10</xdr:col>
      <xdr:colOff>0</xdr:colOff>
      <xdr:row>363</xdr:row>
      <xdr:rowOff>26895</xdr:rowOff>
    </xdr:from>
    <xdr:to>
      <xdr:col>14</xdr:col>
      <xdr:colOff>1111615</xdr:colOff>
      <xdr:row>395</xdr:row>
      <xdr:rowOff>104048</xdr:rowOff>
    </xdr:to>
    <xdr:pic>
      <xdr:nvPicPr>
        <xdr:cNvPr id="53" name="Picture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03"/>
        <a:stretch>
          <a:fillRect/>
        </a:stretch>
      </xdr:blipFill>
      <xdr:spPr>
        <a:xfrm>
          <a:off x="9206753" y="65110660"/>
          <a:ext cx="5082980" cy="5814564"/>
        </a:xfrm>
        <a:prstGeom prst="rect">
          <a:avLst/>
        </a:prstGeom>
      </xdr:spPr>
    </xdr:pic>
    <xdr:clientData/>
  </xdr:twoCellAnchor>
  <xdr:twoCellAnchor editAs="oneCell">
    <xdr:from>
      <xdr:col>14</xdr:col>
      <xdr:colOff>1613645</xdr:colOff>
      <xdr:row>298</xdr:row>
      <xdr:rowOff>161365</xdr:rowOff>
    </xdr:from>
    <xdr:to>
      <xdr:col>19</xdr:col>
      <xdr:colOff>415683</xdr:colOff>
      <xdr:row>330</xdr:row>
      <xdr:rowOff>0</xdr:rowOff>
    </xdr:to>
    <xdr:pic>
      <xdr:nvPicPr>
        <xdr:cNvPr id="55" name="Picture 54">
          <a:extLst>
            <a:ext uri="{FF2B5EF4-FFF2-40B4-BE49-F238E27FC236}">
              <a16:creationId xmlns:a16="http://schemas.microsoft.com/office/drawing/2014/main" id="{00000000-0008-0000-0000-000037000000}"/>
            </a:ext>
          </a:extLst>
        </xdr:cNvPr>
        <xdr:cNvPicPr>
          <a:picLocks noChangeAspect="1"/>
        </xdr:cNvPicPr>
      </xdr:nvPicPr>
      <xdr:blipFill rotWithShape="1">
        <a:blip xmlns:r="http://schemas.openxmlformats.org/officeDocument/2006/relationships" r:embed="rId104"/>
        <a:srcRect b="3342"/>
        <a:stretch/>
      </xdr:blipFill>
      <xdr:spPr>
        <a:xfrm>
          <a:off x="14791763" y="53591012"/>
          <a:ext cx="3558848" cy="5576047"/>
        </a:xfrm>
        <a:prstGeom prst="rect">
          <a:avLst/>
        </a:prstGeom>
      </xdr:spPr>
    </xdr:pic>
    <xdr:clientData/>
  </xdr:twoCellAnchor>
  <xdr:twoCellAnchor editAs="oneCell">
    <xdr:from>
      <xdr:col>14</xdr:col>
      <xdr:colOff>1330769</xdr:colOff>
      <xdr:row>371</xdr:row>
      <xdr:rowOff>53789</xdr:rowOff>
    </xdr:from>
    <xdr:to>
      <xdr:col>19</xdr:col>
      <xdr:colOff>286056</xdr:colOff>
      <xdr:row>393</xdr:row>
      <xdr:rowOff>44830</xdr:rowOff>
    </xdr:to>
    <xdr:pic>
      <xdr:nvPicPr>
        <xdr:cNvPr id="74" name="Picture 73">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105"/>
        <a:stretch>
          <a:fillRect/>
        </a:stretch>
      </xdr:blipFill>
      <xdr:spPr>
        <a:xfrm>
          <a:off x="14508887" y="66571907"/>
          <a:ext cx="3712097" cy="3935511"/>
        </a:xfrm>
        <a:prstGeom prst="rect">
          <a:avLst/>
        </a:prstGeom>
      </xdr:spPr>
    </xdr:pic>
    <xdr:clientData/>
  </xdr:twoCellAnchor>
  <xdr:twoCellAnchor editAs="oneCell">
    <xdr:from>
      <xdr:col>10</xdr:col>
      <xdr:colOff>17930</xdr:colOff>
      <xdr:row>464</xdr:row>
      <xdr:rowOff>0</xdr:rowOff>
    </xdr:from>
    <xdr:to>
      <xdr:col>14</xdr:col>
      <xdr:colOff>1299882</xdr:colOff>
      <xdr:row>494</xdr:row>
      <xdr:rowOff>26011</xdr:rowOff>
    </xdr:to>
    <xdr:pic>
      <xdr:nvPicPr>
        <xdr:cNvPr id="78" name="Picture 77">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106"/>
        <a:stretch>
          <a:fillRect/>
        </a:stretch>
      </xdr:blipFill>
      <xdr:spPr>
        <a:xfrm>
          <a:off x="9224683" y="83192471"/>
          <a:ext cx="5253317" cy="5404834"/>
        </a:xfrm>
        <a:prstGeom prst="rect">
          <a:avLst/>
        </a:prstGeom>
      </xdr:spPr>
    </xdr:pic>
    <xdr:clientData/>
  </xdr:twoCellAnchor>
  <xdr:twoCellAnchor editAs="oneCell">
    <xdr:from>
      <xdr:col>10</xdr:col>
      <xdr:colOff>0</xdr:colOff>
      <xdr:row>495</xdr:row>
      <xdr:rowOff>0</xdr:rowOff>
    </xdr:from>
    <xdr:to>
      <xdr:col>13</xdr:col>
      <xdr:colOff>372074</xdr:colOff>
      <xdr:row>510</xdr:row>
      <xdr:rowOff>6548</xdr:rowOff>
    </xdr:to>
    <xdr:pic>
      <xdr:nvPicPr>
        <xdr:cNvPr id="84" name="Picture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07"/>
        <a:stretch>
          <a:fillRect/>
        </a:stretch>
      </xdr:blipFill>
      <xdr:spPr>
        <a:xfrm>
          <a:off x="9206753" y="88750588"/>
          <a:ext cx="3706945" cy="2695960"/>
        </a:xfrm>
        <a:prstGeom prst="rect">
          <a:avLst/>
        </a:prstGeom>
      </xdr:spPr>
    </xdr:pic>
    <xdr:clientData/>
  </xdr:twoCellAnchor>
  <xdr:twoCellAnchor editAs="oneCell">
    <xdr:from>
      <xdr:col>14</xdr:col>
      <xdr:colOff>0</xdr:colOff>
      <xdr:row>495</xdr:row>
      <xdr:rowOff>0</xdr:rowOff>
    </xdr:from>
    <xdr:to>
      <xdr:col>18</xdr:col>
      <xdr:colOff>419550</xdr:colOff>
      <xdr:row>513</xdr:row>
      <xdr:rowOff>164458</xdr:rowOff>
    </xdr:to>
    <xdr:pic>
      <xdr:nvPicPr>
        <xdr:cNvPr id="88" name="Picture 87">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108"/>
        <a:stretch>
          <a:fillRect/>
        </a:stretch>
      </xdr:blipFill>
      <xdr:spPr>
        <a:xfrm>
          <a:off x="13178118" y="88750588"/>
          <a:ext cx="4477113" cy="3391752"/>
        </a:xfrm>
        <a:prstGeom prst="rect">
          <a:avLst/>
        </a:prstGeom>
      </xdr:spPr>
    </xdr:pic>
    <xdr:clientData/>
  </xdr:twoCellAnchor>
  <xdr:twoCellAnchor editAs="oneCell">
    <xdr:from>
      <xdr:col>10</xdr:col>
      <xdr:colOff>0</xdr:colOff>
      <xdr:row>513</xdr:row>
      <xdr:rowOff>0</xdr:rowOff>
    </xdr:from>
    <xdr:to>
      <xdr:col>14</xdr:col>
      <xdr:colOff>699247</xdr:colOff>
      <xdr:row>527</xdr:row>
      <xdr:rowOff>40093</xdr:rowOff>
    </xdr:to>
    <xdr:pic>
      <xdr:nvPicPr>
        <xdr:cNvPr id="108" name="Picture 107">
          <a:extLst>
            <a:ext uri="{FF2B5EF4-FFF2-40B4-BE49-F238E27FC236}">
              <a16:creationId xmlns:a16="http://schemas.microsoft.com/office/drawing/2014/main" id="{00000000-0008-0000-0000-00006C000000}"/>
            </a:ext>
          </a:extLst>
        </xdr:cNvPr>
        <xdr:cNvPicPr>
          <a:picLocks noChangeAspect="1"/>
        </xdr:cNvPicPr>
      </xdr:nvPicPr>
      <xdr:blipFill>
        <a:blip xmlns:r="http://schemas.openxmlformats.org/officeDocument/2006/relationships" r:embed="rId109"/>
        <a:stretch>
          <a:fillRect/>
        </a:stretch>
      </xdr:blipFill>
      <xdr:spPr>
        <a:xfrm>
          <a:off x="9206753" y="91977882"/>
          <a:ext cx="4670612" cy="2550211"/>
        </a:xfrm>
        <a:prstGeom prst="rect">
          <a:avLst/>
        </a:prstGeom>
      </xdr:spPr>
    </xdr:pic>
    <xdr:clientData/>
  </xdr:twoCellAnchor>
  <xdr:twoCellAnchor editAs="oneCell">
    <xdr:from>
      <xdr:col>9</xdr:col>
      <xdr:colOff>628649</xdr:colOff>
      <xdr:row>561</xdr:row>
      <xdr:rowOff>0</xdr:rowOff>
    </xdr:from>
    <xdr:to>
      <xdr:col>18</xdr:col>
      <xdr:colOff>430042</xdr:colOff>
      <xdr:row>587</xdr:row>
      <xdr:rowOff>57150</xdr:rowOff>
    </xdr:to>
    <xdr:pic>
      <xdr:nvPicPr>
        <xdr:cNvPr id="134" name="Picture 133">
          <a:extLst>
            <a:ext uri="{FF2B5EF4-FFF2-40B4-BE49-F238E27FC236}">
              <a16:creationId xmlns:a16="http://schemas.microsoft.com/office/drawing/2014/main" id="{00000000-0008-0000-0000-000086000000}"/>
            </a:ext>
          </a:extLst>
        </xdr:cNvPr>
        <xdr:cNvPicPr>
          <a:picLocks noChangeAspect="1"/>
        </xdr:cNvPicPr>
      </xdr:nvPicPr>
      <xdr:blipFill>
        <a:blip xmlns:r="http://schemas.openxmlformats.org/officeDocument/2006/relationships" r:embed="rId110"/>
        <a:stretch>
          <a:fillRect/>
        </a:stretch>
      </xdr:blipFill>
      <xdr:spPr>
        <a:xfrm>
          <a:off x="9201149" y="101546025"/>
          <a:ext cx="8473539" cy="4762500"/>
        </a:xfrm>
        <a:prstGeom prst="rect">
          <a:avLst/>
        </a:prstGeom>
      </xdr:spPr>
    </xdr:pic>
    <xdr:clientData/>
  </xdr:twoCellAnchor>
  <xdr:twoCellAnchor>
    <xdr:from>
      <xdr:col>10</xdr:col>
      <xdr:colOff>0</xdr:colOff>
      <xdr:row>529</xdr:row>
      <xdr:rowOff>0</xdr:rowOff>
    </xdr:from>
    <xdr:to>
      <xdr:col>14</xdr:col>
      <xdr:colOff>746760</xdr:colOff>
      <xdr:row>531</xdr:row>
      <xdr:rowOff>53340</xdr:rowOff>
    </xdr:to>
    <xdr:pic>
      <xdr:nvPicPr>
        <xdr:cNvPr id="135" name="Picture 134">
          <a:extLst>
            <a:ext uri="{FF2B5EF4-FFF2-40B4-BE49-F238E27FC236}">
              <a16:creationId xmlns:a16="http://schemas.microsoft.com/office/drawing/2014/main" id="{00000000-0008-0000-0000-000087000000}"/>
            </a:ext>
          </a:extLst>
        </xdr:cNvPr>
        <xdr:cNvPicPr>
          <a:picLocks noChangeAspect="1" noChangeArrowheads="1"/>
        </xdr:cNvPicPr>
      </xdr:nvPicPr>
      <xdr:blipFill>
        <a:blip xmlns:r="http://schemas.openxmlformats.org/officeDocument/2006/relationships" r:embed="rId11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96743520"/>
          <a:ext cx="4724400" cy="419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532</xdr:row>
      <xdr:rowOff>0</xdr:rowOff>
    </xdr:from>
    <xdr:to>
      <xdr:col>14</xdr:col>
      <xdr:colOff>807720</xdr:colOff>
      <xdr:row>534</xdr:row>
      <xdr:rowOff>76200</xdr:rowOff>
    </xdr:to>
    <xdr:pic>
      <xdr:nvPicPr>
        <xdr:cNvPr id="144" name="Picture 143">
          <a:extLst>
            <a:ext uri="{FF2B5EF4-FFF2-40B4-BE49-F238E27FC236}">
              <a16:creationId xmlns:a16="http://schemas.microsoft.com/office/drawing/2014/main" id="{00000000-0008-0000-0000-000090000000}"/>
            </a:ext>
          </a:extLst>
        </xdr:cNvPr>
        <xdr:cNvPicPr>
          <a:picLocks noChangeAspect="1" noChangeArrowheads="1"/>
        </xdr:cNvPicPr>
      </xdr:nvPicPr>
      <xdr:blipFill>
        <a:blip xmlns:r="http://schemas.openxmlformats.org/officeDocument/2006/relationships" r:embed="rId11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97292160"/>
          <a:ext cx="478536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535</xdr:row>
      <xdr:rowOff>0</xdr:rowOff>
    </xdr:from>
    <xdr:to>
      <xdr:col>14</xdr:col>
      <xdr:colOff>655320</xdr:colOff>
      <xdr:row>537</xdr:row>
      <xdr:rowOff>53340</xdr:rowOff>
    </xdr:to>
    <xdr:pic>
      <xdr:nvPicPr>
        <xdr:cNvPr id="154" name="Picture 153">
          <a:extLst>
            <a:ext uri="{FF2B5EF4-FFF2-40B4-BE49-F238E27FC236}">
              <a16:creationId xmlns:a16="http://schemas.microsoft.com/office/drawing/2014/main" id="{00000000-0008-0000-0000-00009A000000}"/>
            </a:ext>
          </a:extLst>
        </xdr:cNvPr>
        <xdr:cNvPicPr>
          <a:picLocks noChangeAspect="1" noChangeArrowheads="1"/>
        </xdr:cNvPicPr>
      </xdr:nvPicPr>
      <xdr:blipFill>
        <a:blip xmlns:r="http://schemas.openxmlformats.org/officeDocument/2006/relationships" r:embed="rId11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97840800"/>
          <a:ext cx="4632960" cy="419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538</xdr:row>
      <xdr:rowOff>0</xdr:rowOff>
    </xdr:from>
    <xdr:to>
      <xdr:col>14</xdr:col>
      <xdr:colOff>807720</xdr:colOff>
      <xdr:row>540</xdr:row>
      <xdr:rowOff>76200</xdr:rowOff>
    </xdr:to>
    <xdr:pic>
      <xdr:nvPicPr>
        <xdr:cNvPr id="156" name="Picture 155">
          <a:extLst>
            <a:ext uri="{FF2B5EF4-FFF2-40B4-BE49-F238E27FC236}">
              <a16:creationId xmlns:a16="http://schemas.microsoft.com/office/drawing/2014/main" id="{00000000-0008-0000-0000-00009C000000}"/>
            </a:ext>
          </a:extLst>
        </xdr:cNvPr>
        <xdr:cNvPicPr>
          <a:picLocks noChangeAspect="1" noChangeArrowheads="1"/>
        </xdr:cNvPicPr>
      </xdr:nvPicPr>
      <xdr:blipFill>
        <a:blip xmlns:r="http://schemas.openxmlformats.org/officeDocument/2006/relationships" r:embed="rId11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98389440"/>
          <a:ext cx="478536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541</xdr:row>
      <xdr:rowOff>0</xdr:rowOff>
    </xdr:from>
    <xdr:to>
      <xdr:col>14</xdr:col>
      <xdr:colOff>1287780</xdr:colOff>
      <xdr:row>543</xdr:row>
      <xdr:rowOff>76200</xdr:rowOff>
    </xdr:to>
    <xdr:pic>
      <xdr:nvPicPr>
        <xdr:cNvPr id="159" name="Picture 158">
          <a:extLst>
            <a:ext uri="{FF2B5EF4-FFF2-40B4-BE49-F238E27FC236}">
              <a16:creationId xmlns:a16="http://schemas.microsoft.com/office/drawing/2014/main" id="{00000000-0008-0000-0000-00009F000000}"/>
            </a:ext>
          </a:extLst>
        </xdr:cNvPr>
        <xdr:cNvPicPr>
          <a:picLocks noChangeAspect="1" noChangeArrowheads="1"/>
        </xdr:cNvPicPr>
      </xdr:nvPicPr>
      <xdr:blipFill>
        <a:blip xmlns:r="http://schemas.openxmlformats.org/officeDocument/2006/relationships" r:embed="rId11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98938080"/>
          <a:ext cx="526542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544</xdr:row>
      <xdr:rowOff>0</xdr:rowOff>
    </xdr:from>
    <xdr:to>
      <xdr:col>14</xdr:col>
      <xdr:colOff>1303020</xdr:colOff>
      <xdr:row>546</xdr:row>
      <xdr:rowOff>76200</xdr:rowOff>
    </xdr:to>
    <xdr:pic>
      <xdr:nvPicPr>
        <xdr:cNvPr id="160" name="Picture 159">
          <a:extLst>
            <a:ext uri="{FF2B5EF4-FFF2-40B4-BE49-F238E27FC236}">
              <a16:creationId xmlns:a16="http://schemas.microsoft.com/office/drawing/2014/main" id="{00000000-0008-0000-0000-0000A0000000}"/>
            </a:ext>
          </a:extLst>
        </xdr:cNvPr>
        <xdr:cNvPicPr>
          <a:picLocks noChangeAspect="1" noChangeArrowheads="1"/>
        </xdr:cNvPicPr>
      </xdr:nvPicPr>
      <xdr:blipFill>
        <a:blip xmlns:r="http://schemas.openxmlformats.org/officeDocument/2006/relationships" r:embed="rId11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99486720"/>
          <a:ext cx="528066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594</xdr:row>
      <xdr:rowOff>0</xdr:rowOff>
    </xdr:from>
    <xdr:to>
      <xdr:col>13</xdr:col>
      <xdr:colOff>101263</xdr:colOff>
      <xdr:row>608</xdr:row>
      <xdr:rowOff>141202</xdr:rowOff>
    </xdr:to>
    <xdr:pic>
      <xdr:nvPicPr>
        <xdr:cNvPr id="172" name="Picture 171">
          <a:extLst>
            <a:ext uri="{FF2B5EF4-FFF2-40B4-BE49-F238E27FC236}">
              <a16:creationId xmlns:a16="http://schemas.microsoft.com/office/drawing/2014/main" id="{00000000-0008-0000-0000-0000AC000000}"/>
            </a:ext>
          </a:extLst>
        </xdr:cNvPr>
        <xdr:cNvPicPr>
          <a:picLocks noChangeAspect="1"/>
        </xdr:cNvPicPr>
      </xdr:nvPicPr>
      <xdr:blipFill>
        <a:blip xmlns:r="http://schemas.openxmlformats.org/officeDocument/2006/relationships" r:embed="rId117"/>
        <a:stretch>
          <a:fillRect/>
        </a:stretch>
      </xdr:blipFill>
      <xdr:spPr>
        <a:xfrm>
          <a:off x="9201150" y="107518200"/>
          <a:ext cx="3444538" cy="2674852"/>
        </a:xfrm>
        <a:prstGeom prst="rect">
          <a:avLst/>
        </a:prstGeom>
      </xdr:spPr>
    </xdr:pic>
    <xdr:clientData/>
  </xdr:twoCellAnchor>
  <xdr:twoCellAnchor editAs="oneCell">
    <xdr:from>
      <xdr:col>10</xdr:col>
      <xdr:colOff>0</xdr:colOff>
      <xdr:row>609</xdr:row>
      <xdr:rowOff>0</xdr:rowOff>
    </xdr:from>
    <xdr:to>
      <xdr:col>13</xdr:col>
      <xdr:colOff>249170</xdr:colOff>
      <xdr:row>623</xdr:row>
      <xdr:rowOff>82256</xdr:rowOff>
    </xdr:to>
    <xdr:pic>
      <xdr:nvPicPr>
        <xdr:cNvPr id="180" name="Picture 179">
          <a:extLst>
            <a:ext uri="{FF2B5EF4-FFF2-40B4-BE49-F238E27FC236}">
              <a16:creationId xmlns:a16="http://schemas.microsoft.com/office/drawing/2014/main" id="{00000000-0008-0000-0000-0000B4000000}"/>
            </a:ext>
          </a:extLst>
        </xdr:cNvPr>
        <xdr:cNvPicPr>
          <a:picLocks noChangeAspect="1"/>
        </xdr:cNvPicPr>
      </xdr:nvPicPr>
      <xdr:blipFill>
        <a:blip xmlns:r="http://schemas.openxmlformats.org/officeDocument/2006/relationships" r:embed="rId118"/>
        <a:stretch>
          <a:fillRect/>
        </a:stretch>
      </xdr:blipFill>
      <xdr:spPr>
        <a:xfrm>
          <a:off x="9201150" y="110232825"/>
          <a:ext cx="3592445" cy="2615906"/>
        </a:xfrm>
        <a:prstGeom prst="rect">
          <a:avLst/>
        </a:prstGeom>
      </xdr:spPr>
    </xdr:pic>
    <xdr:clientData/>
  </xdr:twoCellAnchor>
  <xdr:twoCellAnchor>
    <xdr:from>
      <xdr:col>10</xdr:col>
      <xdr:colOff>0</xdr:colOff>
      <xdr:row>629</xdr:row>
      <xdr:rowOff>0</xdr:rowOff>
    </xdr:from>
    <xdr:to>
      <xdr:col>14</xdr:col>
      <xdr:colOff>1592580</xdr:colOff>
      <xdr:row>631</xdr:row>
      <xdr:rowOff>76200</xdr:rowOff>
    </xdr:to>
    <xdr:pic>
      <xdr:nvPicPr>
        <xdr:cNvPr id="181" name="Picture 180">
          <a:extLst>
            <a:ext uri="{FF2B5EF4-FFF2-40B4-BE49-F238E27FC236}">
              <a16:creationId xmlns:a16="http://schemas.microsoft.com/office/drawing/2014/main" id="{00000000-0008-0000-0000-0000B5000000}"/>
            </a:ext>
          </a:extLst>
        </xdr:cNvPr>
        <xdr:cNvPicPr>
          <a:picLocks noChangeAspect="1" noChangeArrowheads="1"/>
        </xdr:cNvPicPr>
      </xdr:nvPicPr>
      <xdr:blipFill>
        <a:blip xmlns:r="http://schemas.openxmlformats.org/officeDocument/2006/relationships" r:embed="rId11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115069620"/>
          <a:ext cx="557022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636</xdr:row>
      <xdr:rowOff>1</xdr:rowOff>
    </xdr:from>
    <xdr:to>
      <xdr:col>11</xdr:col>
      <xdr:colOff>752230</xdr:colOff>
      <xdr:row>639</xdr:row>
      <xdr:rowOff>182315</xdr:rowOff>
    </xdr:to>
    <xdr:pic>
      <xdr:nvPicPr>
        <xdr:cNvPr id="182" name="Picture 181">
          <a:extLst>
            <a:ext uri="{FF2B5EF4-FFF2-40B4-BE49-F238E27FC236}">
              <a16:creationId xmlns:a16="http://schemas.microsoft.com/office/drawing/2014/main" id="{00000000-0008-0000-0000-0000B6000000}"/>
            </a:ext>
          </a:extLst>
        </xdr:cNvPr>
        <xdr:cNvPicPr>
          <a:picLocks noChangeAspect="1"/>
        </xdr:cNvPicPr>
      </xdr:nvPicPr>
      <xdr:blipFill>
        <a:blip xmlns:r="http://schemas.openxmlformats.org/officeDocument/2006/relationships" r:embed="rId120"/>
        <a:stretch>
          <a:fillRect/>
        </a:stretch>
      </xdr:blipFill>
      <xdr:spPr>
        <a:xfrm>
          <a:off x="9231923" y="118119770"/>
          <a:ext cx="2598615" cy="748930"/>
        </a:xfrm>
        <a:prstGeom prst="rect">
          <a:avLst/>
        </a:prstGeom>
      </xdr:spPr>
    </xdr:pic>
    <xdr:clientData/>
  </xdr:twoCellAnchor>
  <xdr:twoCellAnchor editAs="oneCell">
    <xdr:from>
      <xdr:col>13</xdr:col>
      <xdr:colOff>1</xdr:colOff>
      <xdr:row>635</xdr:row>
      <xdr:rowOff>0</xdr:rowOff>
    </xdr:from>
    <xdr:to>
      <xdr:col>14</xdr:col>
      <xdr:colOff>1533770</xdr:colOff>
      <xdr:row>638</xdr:row>
      <xdr:rowOff>105031</xdr:rowOff>
    </xdr:to>
    <xdr:pic>
      <xdr:nvPicPr>
        <xdr:cNvPr id="183" name="Picture 182">
          <a:extLst>
            <a:ext uri="{FF2B5EF4-FFF2-40B4-BE49-F238E27FC236}">
              <a16:creationId xmlns:a16="http://schemas.microsoft.com/office/drawing/2014/main" id="{00000000-0008-0000-0000-0000B7000000}"/>
            </a:ext>
          </a:extLst>
        </xdr:cNvPr>
        <xdr:cNvPicPr>
          <a:picLocks noChangeAspect="1"/>
        </xdr:cNvPicPr>
      </xdr:nvPicPr>
      <xdr:blipFill>
        <a:blip xmlns:r="http://schemas.openxmlformats.org/officeDocument/2006/relationships" r:embed="rId121"/>
        <a:stretch>
          <a:fillRect/>
        </a:stretch>
      </xdr:blipFill>
      <xdr:spPr>
        <a:xfrm>
          <a:off x="12573001" y="117924385"/>
          <a:ext cx="2178538" cy="681415"/>
        </a:xfrm>
        <a:prstGeom prst="rect">
          <a:avLst/>
        </a:prstGeom>
      </xdr:spPr>
    </xdr:pic>
    <xdr:clientData/>
  </xdr:twoCellAnchor>
  <xdr:twoCellAnchor editAs="oneCell">
    <xdr:from>
      <xdr:col>15</xdr:col>
      <xdr:colOff>0</xdr:colOff>
      <xdr:row>634</xdr:row>
      <xdr:rowOff>0</xdr:rowOff>
    </xdr:from>
    <xdr:to>
      <xdr:col>18</xdr:col>
      <xdr:colOff>342851</xdr:colOff>
      <xdr:row>636</xdr:row>
      <xdr:rowOff>15240</xdr:rowOff>
    </xdr:to>
    <xdr:pic>
      <xdr:nvPicPr>
        <xdr:cNvPr id="184" name="Picture 183">
          <a:extLst>
            <a:ext uri="{FF2B5EF4-FFF2-40B4-BE49-F238E27FC236}">
              <a16:creationId xmlns:a16="http://schemas.microsoft.com/office/drawing/2014/main" id="{00000000-0008-0000-0000-0000B8000000}"/>
            </a:ext>
          </a:extLst>
        </xdr:cNvPr>
        <xdr:cNvPicPr>
          <a:picLocks noChangeAspect="1"/>
        </xdr:cNvPicPr>
      </xdr:nvPicPr>
      <xdr:blipFill rotWithShape="1">
        <a:blip xmlns:r="http://schemas.openxmlformats.org/officeDocument/2006/relationships" r:embed="rId106"/>
        <a:srcRect l="4196" t="7492" r="49215" b="85422"/>
        <a:stretch/>
      </xdr:blipFill>
      <xdr:spPr bwMode="auto">
        <a:xfrm>
          <a:off x="15191154" y="117738769"/>
          <a:ext cx="2453005" cy="39624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0</xdr:colOff>
      <xdr:row>637</xdr:row>
      <xdr:rowOff>0</xdr:rowOff>
    </xdr:from>
    <xdr:to>
      <xdr:col>17</xdr:col>
      <xdr:colOff>424376</xdr:colOff>
      <xdr:row>639</xdr:row>
      <xdr:rowOff>17389</xdr:rowOff>
    </xdr:to>
    <xdr:pic>
      <xdr:nvPicPr>
        <xdr:cNvPr id="208" name="Picture 207">
          <a:extLst>
            <a:ext uri="{FF2B5EF4-FFF2-40B4-BE49-F238E27FC236}">
              <a16:creationId xmlns:a16="http://schemas.microsoft.com/office/drawing/2014/main" id="{00000000-0008-0000-0000-0000D0000000}"/>
            </a:ext>
          </a:extLst>
        </xdr:cNvPr>
        <xdr:cNvPicPr>
          <a:picLocks noChangeAspect="1"/>
        </xdr:cNvPicPr>
      </xdr:nvPicPr>
      <xdr:blipFill rotWithShape="1">
        <a:blip xmlns:r="http://schemas.openxmlformats.org/officeDocument/2006/relationships" r:embed="rId106"/>
        <a:srcRect l="4775" t="76963" r="59339" b="16089"/>
        <a:stretch/>
      </xdr:blipFill>
      <xdr:spPr bwMode="auto">
        <a:xfrm>
          <a:off x="15191154" y="118315154"/>
          <a:ext cx="1889760" cy="388620"/>
        </a:xfrm>
        <a:prstGeom prst="rect">
          <a:avLst/>
        </a:prstGeom>
        <a:ln>
          <a:noFill/>
        </a:ln>
        <a:extLst>
          <a:ext uri="{53640926-AAD7-44D8-BBD7-CCE9431645EC}">
            <a14:shadowObscured xmlns:a14="http://schemas.microsoft.com/office/drawing/2010/main"/>
          </a:ext>
        </a:extLst>
      </xdr:spPr>
    </xdr:pic>
    <xdr:clientData/>
  </xdr:twoCellAnchor>
  <xdr:twoCellAnchor>
    <xdr:from>
      <xdr:col>10</xdr:col>
      <xdr:colOff>0</xdr:colOff>
      <xdr:row>632</xdr:row>
      <xdr:rowOff>0</xdr:rowOff>
    </xdr:from>
    <xdr:to>
      <xdr:col>14</xdr:col>
      <xdr:colOff>1097280</xdr:colOff>
      <xdr:row>634</xdr:row>
      <xdr:rowOff>68580</xdr:rowOff>
    </xdr:to>
    <xdr:pic>
      <xdr:nvPicPr>
        <xdr:cNvPr id="209" name="Picture 208">
          <a:extLst>
            <a:ext uri="{FF2B5EF4-FFF2-40B4-BE49-F238E27FC236}">
              <a16:creationId xmlns:a16="http://schemas.microsoft.com/office/drawing/2014/main" id="{00000000-0008-0000-0000-0000D1000000}"/>
            </a:ext>
          </a:extLst>
        </xdr:cNvPr>
        <xdr:cNvPicPr>
          <a:picLocks noChangeAspect="1" noChangeArrowheads="1"/>
        </xdr:cNvPicPr>
      </xdr:nvPicPr>
      <xdr:blipFill>
        <a:blip xmlns:r="http://schemas.openxmlformats.org/officeDocument/2006/relationships" r:embed="rId12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115625880"/>
          <a:ext cx="507492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626</xdr:row>
      <xdr:rowOff>0</xdr:rowOff>
    </xdr:from>
    <xdr:to>
      <xdr:col>14</xdr:col>
      <xdr:colOff>1097280</xdr:colOff>
      <xdr:row>628</xdr:row>
      <xdr:rowOff>60960</xdr:rowOff>
    </xdr:to>
    <xdr:pic>
      <xdr:nvPicPr>
        <xdr:cNvPr id="210" name="Picture 209">
          <a:extLst>
            <a:ext uri="{FF2B5EF4-FFF2-40B4-BE49-F238E27FC236}">
              <a16:creationId xmlns:a16="http://schemas.microsoft.com/office/drawing/2014/main" id="{00000000-0008-0000-0000-0000D2000000}"/>
            </a:ext>
          </a:extLst>
        </xdr:cNvPr>
        <xdr:cNvPicPr>
          <a:picLocks noChangeAspect="1" noChangeArrowheads="1"/>
        </xdr:cNvPicPr>
      </xdr:nvPicPr>
      <xdr:blipFill>
        <a:blip xmlns:r="http://schemas.openxmlformats.org/officeDocument/2006/relationships" r:embed="rId12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114505740"/>
          <a:ext cx="5074920" cy="434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640</xdr:row>
      <xdr:rowOff>0</xdr:rowOff>
    </xdr:from>
    <xdr:to>
      <xdr:col>11</xdr:col>
      <xdr:colOff>83820</xdr:colOff>
      <xdr:row>642</xdr:row>
      <xdr:rowOff>66431</xdr:rowOff>
    </xdr:to>
    <xdr:pic>
      <xdr:nvPicPr>
        <xdr:cNvPr id="223" name="Picture 222">
          <a:extLst>
            <a:ext uri="{FF2B5EF4-FFF2-40B4-BE49-F238E27FC236}">
              <a16:creationId xmlns:a16="http://schemas.microsoft.com/office/drawing/2014/main" id="{00000000-0008-0000-0000-0000DF000000}"/>
            </a:ext>
          </a:extLst>
        </xdr:cNvPr>
        <xdr:cNvPicPr>
          <a:picLocks noChangeAspect="1" noChangeArrowheads="1"/>
        </xdr:cNvPicPr>
      </xdr:nvPicPr>
      <xdr:blipFill>
        <a:blip xmlns:r="http://schemas.openxmlformats.org/officeDocument/2006/relationships" r:embed="rId12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31923" y="118881769"/>
          <a:ext cx="1930205" cy="44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643</xdr:row>
      <xdr:rowOff>0</xdr:rowOff>
    </xdr:from>
    <xdr:to>
      <xdr:col>14</xdr:col>
      <xdr:colOff>1478280</xdr:colOff>
      <xdr:row>644</xdr:row>
      <xdr:rowOff>30481</xdr:rowOff>
    </xdr:to>
    <xdr:pic>
      <xdr:nvPicPr>
        <xdr:cNvPr id="224" name="Picture 223">
          <a:extLst>
            <a:ext uri="{FF2B5EF4-FFF2-40B4-BE49-F238E27FC236}">
              <a16:creationId xmlns:a16="http://schemas.microsoft.com/office/drawing/2014/main" id="{00000000-0008-0000-0000-0000E0000000}"/>
            </a:ext>
          </a:extLst>
        </xdr:cNvPr>
        <xdr:cNvPicPr>
          <a:picLocks noChangeAspect="1" noChangeArrowheads="1"/>
        </xdr:cNvPicPr>
      </xdr:nvPicPr>
      <xdr:blipFill>
        <a:blip xmlns:r="http://schemas.openxmlformats.org/officeDocument/2006/relationships" r:embed="rId12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31923" y="119448385"/>
          <a:ext cx="5464126" cy="2258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644</xdr:row>
      <xdr:rowOff>0</xdr:rowOff>
    </xdr:from>
    <xdr:to>
      <xdr:col>14</xdr:col>
      <xdr:colOff>1965960</xdr:colOff>
      <xdr:row>646</xdr:row>
      <xdr:rowOff>60960</xdr:rowOff>
    </xdr:to>
    <xdr:pic>
      <xdr:nvPicPr>
        <xdr:cNvPr id="225" name="Picture 224">
          <a:extLst>
            <a:ext uri="{FF2B5EF4-FFF2-40B4-BE49-F238E27FC236}">
              <a16:creationId xmlns:a16="http://schemas.microsoft.com/office/drawing/2014/main" id="{00000000-0008-0000-0000-0000E1000000}"/>
            </a:ext>
          </a:extLst>
        </xdr:cNvPr>
        <xdr:cNvPicPr>
          <a:picLocks noChangeAspect="1" noChangeArrowheads="1"/>
        </xdr:cNvPicPr>
      </xdr:nvPicPr>
      <xdr:blipFill>
        <a:blip xmlns:r="http://schemas.openxmlformats.org/officeDocument/2006/relationships" r:embed="rId12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31923" y="119643769"/>
          <a:ext cx="5951806"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646</xdr:row>
      <xdr:rowOff>0</xdr:rowOff>
    </xdr:from>
    <xdr:to>
      <xdr:col>12</xdr:col>
      <xdr:colOff>617220</xdr:colOff>
      <xdr:row>647</xdr:row>
      <xdr:rowOff>45719</xdr:rowOff>
    </xdr:to>
    <xdr:pic>
      <xdr:nvPicPr>
        <xdr:cNvPr id="226" name="Picture 225">
          <a:extLst>
            <a:ext uri="{FF2B5EF4-FFF2-40B4-BE49-F238E27FC236}">
              <a16:creationId xmlns:a16="http://schemas.microsoft.com/office/drawing/2014/main" id="{00000000-0008-0000-0000-0000E2000000}"/>
            </a:ext>
          </a:extLst>
        </xdr:cNvPr>
        <xdr:cNvPicPr>
          <a:picLocks noChangeAspect="1" noChangeArrowheads="1"/>
        </xdr:cNvPicPr>
      </xdr:nvPicPr>
      <xdr:blipFill>
        <a:blip xmlns:r="http://schemas.openxmlformats.org/officeDocument/2006/relationships" r:embed="rId12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31923" y="120024769"/>
          <a:ext cx="3313528" cy="2313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647</xdr:row>
      <xdr:rowOff>0</xdr:rowOff>
    </xdr:from>
    <xdr:to>
      <xdr:col>14</xdr:col>
      <xdr:colOff>1965960</xdr:colOff>
      <xdr:row>650</xdr:row>
      <xdr:rowOff>83820</xdr:rowOff>
    </xdr:to>
    <xdr:pic>
      <xdr:nvPicPr>
        <xdr:cNvPr id="227" name="Picture 226">
          <a:extLst>
            <a:ext uri="{FF2B5EF4-FFF2-40B4-BE49-F238E27FC236}">
              <a16:creationId xmlns:a16="http://schemas.microsoft.com/office/drawing/2014/main" id="{00000000-0008-0000-0000-0000E3000000}"/>
            </a:ext>
          </a:extLst>
        </xdr:cNvPr>
        <xdr:cNvPicPr>
          <a:picLocks noChangeAspect="1" noChangeArrowheads="1"/>
        </xdr:cNvPicPr>
      </xdr:nvPicPr>
      <xdr:blipFill>
        <a:blip xmlns:r="http://schemas.openxmlformats.org/officeDocument/2006/relationships" r:embed="rId12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12580" y="118422420"/>
          <a:ext cx="594360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650</xdr:row>
      <xdr:rowOff>0</xdr:rowOff>
    </xdr:from>
    <xdr:to>
      <xdr:col>14</xdr:col>
      <xdr:colOff>1965960</xdr:colOff>
      <xdr:row>653</xdr:row>
      <xdr:rowOff>91439</xdr:rowOff>
    </xdr:to>
    <xdr:pic>
      <xdr:nvPicPr>
        <xdr:cNvPr id="230" name="Picture 229">
          <a:extLst>
            <a:ext uri="{FF2B5EF4-FFF2-40B4-BE49-F238E27FC236}">
              <a16:creationId xmlns:a16="http://schemas.microsoft.com/office/drawing/2014/main" id="{00000000-0008-0000-0000-0000E6000000}"/>
            </a:ext>
          </a:extLst>
        </xdr:cNvPr>
        <xdr:cNvPicPr>
          <a:picLocks noChangeAspect="1" noChangeArrowheads="1"/>
        </xdr:cNvPicPr>
      </xdr:nvPicPr>
      <xdr:blipFill>
        <a:blip xmlns:r="http://schemas.openxmlformats.org/officeDocument/2006/relationships" r:embed="rId12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31923" y="120786769"/>
          <a:ext cx="5951806" cy="658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0</xdr:colOff>
      <xdr:row>653</xdr:row>
      <xdr:rowOff>0</xdr:rowOff>
    </xdr:from>
    <xdr:to>
      <xdr:col>14</xdr:col>
      <xdr:colOff>1965960</xdr:colOff>
      <xdr:row>656</xdr:row>
      <xdr:rowOff>99061</xdr:rowOff>
    </xdr:to>
    <xdr:pic>
      <xdr:nvPicPr>
        <xdr:cNvPr id="231" name="Picture 230">
          <a:extLst>
            <a:ext uri="{FF2B5EF4-FFF2-40B4-BE49-F238E27FC236}">
              <a16:creationId xmlns:a16="http://schemas.microsoft.com/office/drawing/2014/main" id="{00000000-0008-0000-0000-0000E7000000}"/>
            </a:ext>
          </a:extLst>
        </xdr:cNvPr>
        <xdr:cNvPicPr>
          <a:picLocks noChangeAspect="1" noChangeArrowheads="1"/>
        </xdr:cNvPicPr>
      </xdr:nvPicPr>
      <xdr:blipFill>
        <a:blip xmlns:r="http://schemas.openxmlformats.org/officeDocument/2006/relationships" r:embed="rId13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9231923" y="121353385"/>
          <a:ext cx="5951806" cy="6559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0</xdr:row>
      <xdr:rowOff>0</xdr:rowOff>
    </xdr:from>
    <xdr:to>
      <xdr:col>27</xdr:col>
      <xdr:colOff>182880</xdr:colOff>
      <xdr:row>2</xdr:row>
      <xdr:rowOff>160020</xdr:rowOff>
    </xdr:to>
    <xdr:pic>
      <xdr:nvPicPr>
        <xdr:cNvPr id="232" name="Picture 231">
          <a:extLst>
            <a:ext uri="{FF2B5EF4-FFF2-40B4-BE49-F238E27FC236}">
              <a16:creationId xmlns:a16="http://schemas.microsoft.com/office/drawing/2014/main" id="{00000000-0008-0000-0000-0000E8000000}"/>
            </a:ext>
          </a:extLst>
        </xdr:cNvPr>
        <xdr:cNvPicPr>
          <a:picLocks noChangeAspect="1" noChangeArrowheads="1"/>
        </xdr:cNvPicPr>
      </xdr:nvPicPr>
      <xdr:blipFill>
        <a:blip xmlns:r="http://schemas.openxmlformats.org/officeDocument/2006/relationships" r:embed="rId13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0"/>
          <a:ext cx="4663440"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3</xdr:row>
      <xdr:rowOff>0</xdr:rowOff>
    </xdr:from>
    <xdr:to>
      <xdr:col>27</xdr:col>
      <xdr:colOff>297180</xdr:colOff>
      <xdr:row>5</xdr:row>
      <xdr:rowOff>160020</xdr:rowOff>
    </xdr:to>
    <xdr:pic>
      <xdr:nvPicPr>
        <xdr:cNvPr id="233" name="Picture 232">
          <a:extLst>
            <a:ext uri="{FF2B5EF4-FFF2-40B4-BE49-F238E27FC236}">
              <a16:creationId xmlns:a16="http://schemas.microsoft.com/office/drawing/2014/main" id="{00000000-0008-0000-0000-0000E9000000}"/>
            </a:ext>
          </a:extLst>
        </xdr:cNvPr>
        <xdr:cNvPicPr>
          <a:picLocks noChangeAspect="1" noChangeArrowheads="1"/>
        </xdr:cNvPicPr>
      </xdr:nvPicPr>
      <xdr:blipFill>
        <a:blip xmlns:r="http://schemas.openxmlformats.org/officeDocument/2006/relationships" r:embed="rId13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548640"/>
          <a:ext cx="4777740"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6</xdr:row>
      <xdr:rowOff>0</xdr:rowOff>
    </xdr:from>
    <xdr:to>
      <xdr:col>27</xdr:col>
      <xdr:colOff>182880</xdr:colOff>
      <xdr:row>8</xdr:row>
      <xdr:rowOff>160020</xdr:rowOff>
    </xdr:to>
    <xdr:pic>
      <xdr:nvPicPr>
        <xdr:cNvPr id="234" name="Picture 233">
          <a:extLst>
            <a:ext uri="{FF2B5EF4-FFF2-40B4-BE49-F238E27FC236}">
              <a16:creationId xmlns:a16="http://schemas.microsoft.com/office/drawing/2014/main" id="{00000000-0008-0000-0000-0000EA000000}"/>
            </a:ext>
          </a:extLst>
        </xdr:cNvPr>
        <xdr:cNvPicPr>
          <a:picLocks noChangeAspect="1" noChangeArrowheads="1"/>
        </xdr:cNvPicPr>
      </xdr:nvPicPr>
      <xdr:blipFill>
        <a:blip xmlns:r="http://schemas.openxmlformats.org/officeDocument/2006/relationships" r:embed="rId13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097280"/>
          <a:ext cx="4663440"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76201</xdr:colOff>
      <xdr:row>11</xdr:row>
      <xdr:rowOff>50800</xdr:rowOff>
    </xdr:from>
    <xdr:to>
      <xdr:col>26</xdr:col>
      <xdr:colOff>444500</xdr:colOff>
      <xdr:row>32</xdr:row>
      <xdr:rowOff>90386</xdr:rowOff>
    </xdr:to>
    <xdr:pic>
      <xdr:nvPicPr>
        <xdr:cNvPr id="235" name="Picture 234">
          <a:extLst>
            <a:ext uri="{FF2B5EF4-FFF2-40B4-BE49-F238E27FC236}">
              <a16:creationId xmlns:a16="http://schemas.microsoft.com/office/drawing/2014/main" id="{00000000-0008-0000-0000-0000EB000000}"/>
            </a:ext>
          </a:extLst>
        </xdr:cNvPr>
        <xdr:cNvPicPr>
          <a:picLocks noChangeAspect="1"/>
        </xdr:cNvPicPr>
      </xdr:nvPicPr>
      <xdr:blipFill>
        <a:blip xmlns:r="http://schemas.openxmlformats.org/officeDocument/2006/relationships" r:embed="rId134"/>
        <a:stretch>
          <a:fillRect/>
        </a:stretch>
      </xdr:blipFill>
      <xdr:spPr>
        <a:xfrm>
          <a:off x="18656301" y="2006600"/>
          <a:ext cx="4317999" cy="3773386"/>
        </a:xfrm>
        <a:prstGeom prst="rect">
          <a:avLst/>
        </a:prstGeom>
      </xdr:spPr>
    </xdr:pic>
    <xdr:clientData/>
  </xdr:twoCellAnchor>
  <xdr:twoCellAnchor editAs="oneCell">
    <xdr:from>
      <xdr:col>27</xdr:col>
      <xdr:colOff>0</xdr:colOff>
      <xdr:row>11</xdr:row>
      <xdr:rowOff>0</xdr:rowOff>
    </xdr:from>
    <xdr:to>
      <xdr:col>34</xdr:col>
      <xdr:colOff>436033</xdr:colOff>
      <xdr:row>21</xdr:row>
      <xdr:rowOff>165100</xdr:rowOff>
    </xdr:to>
    <xdr:pic>
      <xdr:nvPicPr>
        <xdr:cNvPr id="236" name="Picture 235">
          <a:extLst>
            <a:ext uri="{FF2B5EF4-FFF2-40B4-BE49-F238E27FC236}">
              <a16:creationId xmlns:a16="http://schemas.microsoft.com/office/drawing/2014/main" id="{00000000-0008-0000-0000-0000EC000000}"/>
            </a:ext>
          </a:extLst>
        </xdr:cNvPr>
        <xdr:cNvPicPr>
          <a:picLocks noChangeAspect="1"/>
        </xdr:cNvPicPr>
      </xdr:nvPicPr>
      <xdr:blipFill>
        <a:blip xmlns:r="http://schemas.openxmlformats.org/officeDocument/2006/relationships" r:embed="rId135"/>
        <a:stretch>
          <a:fillRect/>
        </a:stretch>
      </xdr:blipFill>
      <xdr:spPr>
        <a:xfrm>
          <a:off x="23025100" y="1955800"/>
          <a:ext cx="4677833" cy="1943100"/>
        </a:xfrm>
        <a:prstGeom prst="rect">
          <a:avLst/>
        </a:prstGeom>
      </xdr:spPr>
    </xdr:pic>
    <xdr:clientData/>
  </xdr:twoCellAnchor>
  <xdr:twoCellAnchor>
    <xdr:from>
      <xdr:col>20</xdr:col>
      <xdr:colOff>0</xdr:colOff>
      <xdr:row>40</xdr:row>
      <xdr:rowOff>0</xdr:rowOff>
    </xdr:from>
    <xdr:to>
      <xdr:col>21</xdr:col>
      <xdr:colOff>556260</xdr:colOff>
      <xdr:row>42</xdr:row>
      <xdr:rowOff>7620</xdr:rowOff>
    </xdr:to>
    <xdr:pic>
      <xdr:nvPicPr>
        <xdr:cNvPr id="237" name="Picture 236">
          <a:extLst>
            <a:ext uri="{FF2B5EF4-FFF2-40B4-BE49-F238E27FC236}">
              <a16:creationId xmlns:a16="http://schemas.microsoft.com/office/drawing/2014/main" id="{00000000-0008-0000-0000-0000ED000000}"/>
            </a:ext>
          </a:extLst>
        </xdr:cNvPr>
        <xdr:cNvPicPr>
          <a:picLocks noChangeAspect="1" noChangeArrowheads="1"/>
        </xdr:cNvPicPr>
      </xdr:nvPicPr>
      <xdr:blipFill>
        <a:blip xmlns:r="http://schemas.openxmlformats.org/officeDocument/2006/relationships" r:embed="rId13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7315200"/>
          <a:ext cx="119634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42</xdr:row>
      <xdr:rowOff>0</xdr:rowOff>
    </xdr:from>
    <xdr:to>
      <xdr:col>24</xdr:col>
      <xdr:colOff>99060</xdr:colOff>
      <xdr:row>44</xdr:row>
      <xdr:rowOff>7620</xdr:rowOff>
    </xdr:to>
    <xdr:pic>
      <xdr:nvPicPr>
        <xdr:cNvPr id="238" name="Picture 237">
          <a:extLst>
            <a:ext uri="{FF2B5EF4-FFF2-40B4-BE49-F238E27FC236}">
              <a16:creationId xmlns:a16="http://schemas.microsoft.com/office/drawing/2014/main" id="{00000000-0008-0000-0000-0000EE000000}"/>
            </a:ext>
          </a:extLst>
        </xdr:cNvPr>
        <xdr:cNvPicPr>
          <a:picLocks noChangeAspect="1" noChangeArrowheads="1"/>
        </xdr:cNvPicPr>
      </xdr:nvPicPr>
      <xdr:blipFill>
        <a:blip xmlns:r="http://schemas.openxmlformats.org/officeDocument/2006/relationships" r:embed="rId13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7680960"/>
          <a:ext cx="265938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44</xdr:row>
      <xdr:rowOff>0</xdr:rowOff>
    </xdr:from>
    <xdr:to>
      <xdr:col>23</xdr:col>
      <xdr:colOff>76200</xdr:colOff>
      <xdr:row>46</xdr:row>
      <xdr:rowOff>7620</xdr:rowOff>
    </xdr:to>
    <xdr:pic>
      <xdr:nvPicPr>
        <xdr:cNvPr id="239" name="Picture 238">
          <a:extLst>
            <a:ext uri="{FF2B5EF4-FFF2-40B4-BE49-F238E27FC236}">
              <a16:creationId xmlns:a16="http://schemas.microsoft.com/office/drawing/2014/main" id="{00000000-0008-0000-0000-0000EF000000}"/>
            </a:ext>
          </a:extLst>
        </xdr:cNvPr>
        <xdr:cNvPicPr>
          <a:picLocks noChangeAspect="1" noChangeArrowheads="1"/>
        </xdr:cNvPicPr>
      </xdr:nvPicPr>
      <xdr:blipFill>
        <a:blip xmlns:r="http://schemas.openxmlformats.org/officeDocument/2006/relationships" r:embed="rId13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8046720"/>
          <a:ext cx="199644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48</xdr:row>
      <xdr:rowOff>0</xdr:rowOff>
    </xdr:from>
    <xdr:to>
      <xdr:col>21</xdr:col>
      <xdr:colOff>556260</xdr:colOff>
      <xdr:row>50</xdr:row>
      <xdr:rowOff>7620</xdr:rowOff>
    </xdr:to>
    <xdr:pic>
      <xdr:nvPicPr>
        <xdr:cNvPr id="240" name="Picture 239">
          <a:extLst>
            <a:ext uri="{FF2B5EF4-FFF2-40B4-BE49-F238E27FC236}">
              <a16:creationId xmlns:a16="http://schemas.microsoft.com/office/drawing/2014/main" id="{00000000-0008-0000-0000-0000F0000000}"/>
            </a:ext>
          </a:extLst>
        </xdr:cNvPr>
        <xdr:cNvPicPr>
          <a:picLocks noChangeAspect="1" noChangeArrowheads="1"/>
        </xdr:cNvPicPr>
      </xdr:nvPicPr>
      <xdr:blipFill>
        <a:blip xmlns:r="http://schemas.openxmlformats.org/officeDocument/2006/relationships" r:embed="rId13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8778240"/>
          <a:ext cx="119634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51</xdr:row>
      <xdr:rowOff>0</xdr:rowOff>
    </xdr:from>
    <xdr:to>
      <xdr:col>23</xdr:col>
      <xdr:colOff>624840</xdr:colOff>
      <xdr:row>53</xdr:row>
      <xdr:rowOff>0</xdr:rowOff>
    </xdr:to>
    <xdr:pic>
      <xdr:nvPicPr>
        <xdr:cNvPr id="241" name="Picture 240">
          <a:extLst>
            <a:ext uri="{FF2B5EF4-FFF2-40B4-BE49-F238E27FC236}">
              <a16:creationId xmlns:a16="http://schemas.microsoft.com/office/drawing/2014/main" id="{00000000-0008-0000-0000-0000F1000000}"/>
            </a:ext>
          </a:extLst>
        </xdr:cNvPr>
        <xdr:cNvPicPr>
          <a:picLocks noChangeAspect="1" noChangeArrowheads="1"/>
        </xdr:cNvPicPr>
      </xdr:nvPicPr>
      <xdr:blipFill>
        <a:blip xmlns:r="http://schemas.openxmlformats.org/officeDocument/2006/relationships" r:embed="rId14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9326880"/>
          <a:ext cx="2545080" cy="365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54</xdr:row>
      <xdr:rowOff>0</xdr:rowOff>
    </xdr:from>
    <xdr:to>
      <xdr:col>23</xdr:col>
      <xdr:colOff>15240</xdr:colOff>
      <xdr:row>56</xdr:row>
      <xdr:rowOff>7620</xdr:rowOff>
    </xdr:to>
    <xdr:pic>
      <xdr:nvPicPr>
        <xdr:cNvPr id="242" name="Picture 241">
          <a:extLst>
            <a:ext uri="{FF2B5EF4-FFF2-40B4-BE49-F238E27FC236}">
              <a16:creationId xmlns:a16="http://schemas.microsoft.com/office/drawing/2014/main" id="{00000000-0008-0000-0000-0000F2000000}"/>
            </a:ext>
          </a:extLst>
        </xdr:cNvPr>
        <xdr:cNvPicPr>
          <a:picLocks noChangeAspect="1" noChangeArrowheads="1"/>
        </xdr:cNvPicPr>
      </xdr:nvPicPr>
      <xdr:blipFill>
        <a:blip xmlns:r="http://schemas.openxmlformats.org/officeDocument/2006/relationships" r:embed="rId14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9875520"/>
          <a:ext cx="193548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26</xdr:col>
      <xdr:colOff>0</xdr:colOff>
      <xdr:row>42</xdr:row>
      <xdr:rowOff>0</xdr:rowOff>
    </xdr:from>
    <xdr:to>
      <xdr:col>30</xdr:col>
      <xdr:colOff>297180</xdr:colOff>
      <xdr:row>44</xdr:row>
      <xdr:rowOff>129540</xdr:rowOff>
    </xdr:to>
    <xdr:pic>
      <xdr:nvPicPr>
        <xdr:cNvPr id="243" name="Picture 242">
          <a:extLst>
            <a:ext uri="{FF2B5EF4-FFF2-40B4-BE49-F238E27FC236}">
              <a16:creationId xmlns:a16="http://schemas.microsoft.com/office/drawing/2014/main" id="{00000000-0008-0000-0000-0000F3000000}"/>
            </a:ext>
          </a:extLst>
        </xdr:cNvPr>
        <xdr:cNvPicPr>
          <a:picLocks noChangeAspect="1" noChangeArrowheads="1"/>
        </xdr:cNvPicPr>
      </xdr:nvPicPr>
      <xdr:blipFill>
        <a:blip xmlns:r="http://schemas.openxmlformats.org/officeDocument/2006/relationships" r:embed="rId14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2456140" y="7680960"/>
          <a:ext cx="3116580"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26</xdr:col>
      <xdr:colOff>0</xdr:colOff>
      <xdr:row>45</xdr:row>
      <xdr:rowOff>0</xdr:rowOff>
    </xdr:from>
    <xdr:to>
      <xdr:col>29</xdr:col>
      <xdr:colOff>739140</xdr:colOff>
      <xdr:row>47</xdr:row>
      <xdr:rowOff>7620</xdr:rowOff>
    </xdr:to>
    <xdr:pic>
      <xdr:nvPicPr>
        <xdr:cNvPr id="244" name="Picture 243">
          <a:extLst>
            <a:ext uri="{FF2B5EF4-FFF2-40B4-BE49-F238E27FC236}">
              <a16:creationId xmlns:a16="http://schemas.microsoft.com/office/drawing/2014/main" id="{00000000-0008-0000-0000-0000F4000000}"/>
            </a:ext>
          </a:extLst>
        </xdr:cNvPr>
        <xdr:cNvPicPr>
          <a:picLocks noChangeAspect="1" noChangeArrowheads="1"/>
        </xdr:cNvPicPr>
      </xdr:nvPicPr>
      <xdr:blipFill>
        <a:blip xmlns:r="http://schemas.openxmlformats.org/officeDocument/2006/relationships" r:embed="rId14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2456140" y="8229600"/>
          <a:ext cx="265938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26</xdr:col>
      <xdr:colOff>0</xdr:colOff>
      <xdr:row>47</xdr:row>
      <xdr:rowOff>0</xdr:rowOff>
    </xdr:from>
    <xdr:to>
      <xdr:col>30</xdr:col>
      <xdr:colOff>762000</xdr:colOff>
      <xdr:row>49</xdr:row>
      <xdr:rowOff>129540</xdr:rowOff>
    </xdr:to>
    <xdr:pic>
      <xdr:nvPicPr>
        <xdr:cNvPr id="245" name="Picture 244">
          <a:extLst>
            <a:ext uri="{FF2B5EF4-FFF2-40B4-BE49-F238E27FC236}">
              <a16:creationId xmlns:a16="http://schemas.microsoft.com/office/drawing/2014/main" id="{00000000-0008-0000-0000-0000F5000000}"/>
            </a:ext>
          </a:extLst>
        </xdr:cNvPr>
        <xdr:cNvPicPr>
          <a:picLocks noChangeAspect="1" noChangeArrowheads="1"/>
        </xdr:cNvPicPr>
      </xdr:nvPicPr>
      <xdr:blipFill>
        <a:blip xmlns:r="http://schemas.openxmlformats.org/officeDocument/2006/relationships" r:embed="rId14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2456140" y="8595360"/>
          <a:ext cx="3581400"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26</xdr:col>
      <xdr:colOff>0</xdr:colOff>
      <xdr:row>50</xdr:row>
      <xdr:rowOff>0</xdr:rowOff>
    </xdr:from>
    <xdr:to>
      <xdr:col>30</xdr:col>
      <xdr:colOff>563880</xdr:colOff>
      <xdr:row>52</xdr:row>
      <xdr:rowOff>7620</xdr:rowOff>
    </xdr:to>
    <xdr:pic>
      <xdr:nvPicPr>
        <xdr:cNvPr id="246" name="Picture 245">
          <a:extLst>
            <a:ext uri="{FF2B5EF4-FFF2-40B4-BE49-F238E27FC236}">
              <a16:creationId xmlns:a16="http://schemas.microsoft.com/office/drawing/2014/main" id="{00000000-0008-0000-0000-0000F6000000}"/>
            </a:ext>
          </a:extLst>
        </xdr:cNvPr>
        <xdr:cNvPicPr>
          <a:picLocks noChangeAspect="1" noChangeArrowheads="1"/>
        </xdr:cNvPicPr>
      </xdr:nvPicPr>
      <xdr:blipFill>
        <a:blip xmlns:r="http://schemas.openxmlformats.org/officeDocument/2006/relationships" r:embed="rId14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2456140" y="9144000"/>
          <a:ext cx="338328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26</xdr:col>
      <xdr:colOff>0</xdr:colOff>
      <xdr:row>53</xdr:row>
      <xdr:rowOff>0</xdr:rowOff>
    </xdr:from>
    <xdr:to>
      <xdr:col>29</xdr:col>
      <xdr:colOff>525780</xdr:colOff>
      <xdr:row>55</xdr:row>
      <xdr:rowOff>7620</xdr:rowOff>
    </xdr:to>
    <xdr:pic>
      <xdr:nvPicPr>
        <xdr:cNvPr id="247" name="Picture 246">
          <a:extLst>
            <a:ext uri="{FF2B5EF4-FFF2-40B4-BE49-F238E27FC236}">
              <a16:creationId xmlns:a16="http://schemas.microsoft.com/office/drawing/2014/main" id="{00000000-0008-0000-0000-0000F7000000}"/>
            </a:ext>
          </a:extLst>
        </xdr:cNvPr>
        <xdr:cNvPicPr>
          <a:picLocks noChangeAspect="1" noChangeArrowheads="1"/>
        </xdr:cNvPicPr>
      </xdr:nvPicPr>
      <xdr:blipFill>
        <a:blip xmlns:r="http://schemas.openxmlformats.org/officeDocument/2006/relationships" r:embed="rId14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2456140" y="9692640"/>
          <a:ext cx="244602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0</xdr:colOff>
      <xdr:row>57</xdr:row>
      <xdr:rowOff>0</xdr:rowOff>
    </xdr:from>
    <xdr:to>
      <xdr:col>23</xdr:col>
      <xdr:colOff>549449</xdr:colOff>
      <xdr:row>63</xdr:row>
      <xdr:rowOff>127000</xdr:rowOff>
    </xdr:to>
    <xdr:pic>
      <xdr:nvPicPr>
        <xdr:cNvPr id="248" name="Picture 247">
          <a:extLst>
            <a:ext uri="{FF2B5EF4-FFF2-40B4-BE49-F238E27FC236}">
              <a16:creationId xmlns:a16="http://schemas.microsoft.com/office/drawing/2014/main" id="{00000000-0008-0000-0000-0000F8000000}"/>
            </a:ext>
          </a:extLst>
        </xdr:cNvPr>
        <xdr:cNvPicPr>
          <a:picLocks noChangeAspect="1"/>
        </xdr:cNvPicPr>
      </xdr:nvPicPr>
      <xdr:blipFill>
        <a:blip xmlns:r="http://schemas.openxmlformats.org/officeDocument/2006/relationships" r:embed="rId147"/>
        <a:stretch>
          <a:fillRect/>
        </a:stretch>
      </xdr:blipFill>
      <xdr:spPr>
        <a:xfrm>
          <a:off x="18580100" y="10134600"/>
          <a:ext cx="2492549" cy="1193800"/>
        </a:xfrm>
        <a:prstGeom prst="rect">
          <a:avLst/>
        </a:prstGeom>
      </xdr:spPr>
    </xdr:pic>
    <xdr:clientData/>
  </xdr:twoCellAnchor>
  <xdr:twoCellAnchor editAs="oneCell">
    <xdr:from>
      <xdr:col>24</xdr:col>
      <xdr:colOff>0</xdr:colOff>
      <xdr:row>56</xdr:row>
      <xdr:rowOff>0</xdr:rowOff>
    </xdr:from>
    <xdr:to>
      <xdr:col>27</xdr:col>
      <xdr:colOff>468854</xdr:colOff>
      <xdr:row>63</xdr:row>
      <xdr:rowOff>63500</xdr:rowOff>
    </xdr:to>
    <xdr:pic>
      <xdr:nvPicPr>
        <xdr:cNvPr id="250" name="Picture 249">
          <a:extLst>
            <a:ext uri="{FF2B5EF4-FFF2-40B4-BE49-F238E27FC236}">
              <a16:creationId xmlns:a16="http://schemas.microsoft.com/office/drawing/2014/main" id="{00000000-0008-0000-0000-0000FA000000}"/>
            </a:ext>
          </a:extLst>
        </xdr:cNvPr>
        <xdr:cNvPicPr>
          <a:picLocks noChangeAspect="1"/>
        </xdr:cNvPicPr>
      </xdr:nvPicPr>
      <xdr:blipFill>
        <a:blip xmlns:r="http://schemas.openxmlformats.org/officeDocument/2006/relationships" r:embed="rId148"/>
        <a:stretch>
          <a:fillRect/>
        </a:stretch>
      </xdr:blipFill>
      <xdr:spPr>
        <a:xfrm>
          <a:off x="21120100" y="9956800"/>
          <a:ext cx="2246854" cy="1308100"/>
        </a:xfrm>
        <a:prstGeom prst="rect">
          <a:avLst/>
        </a:prstGeom>
      </xdr:spPr>
    </xdr:pic>
    <xdr:clientData/>
  </xdr:twoCellAnchor>
  <xdr:twoCellAnchor>
    <xdr:from>
      <xdr:col>29</xdr:col>
      <xdr:colOff>0</xdr:colOff>
      <xdr:row>56</xdr:row>
      <xdr:rowOff>0</xdr:rowOff>
    </xdr:from>
    <xdr:to>
      <xdr:col>30</xdr:col>
      <xdr:colOff>53340</xdr:colOff>
      <xdr:row>58</xdr:row>
      <xdr:rowOff>22860</xdr:rowOff>
    </xdr:to>
    <xdr:pic>
      <xdr:nvPicPr>
        <xdr:cNvPr id="252" name="Picture 251">
          <a:extLst>
            <a:ext uri="{FF2B5EF4-FFF2-40B4-BE49-F238E27FC236}">
              <a16:creationId xmlns:a16="http://schemas.microsoft.com/office/drawing/2014/main" id="{00000000-0008-0000-0000-0000FC000000}"/>
            </a:ext>
          </a:extLst>
        </xdr:cNvPr>
        <xdr:cNvPicPr>
          <a:picLocks noChangeAspect="1" noChangeArrowheads="1"/>
        </xdr:cNvPicPr>
      </xdr:nvPicPr>
      <xdr:blipFill>
        <a:blip xmlns:r="http://schemas.openxmlformats.org/officeDocument/2006/relationships" r:embed="rId14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4132540" y="10241280"/>
          <a:ext cx="533400" cy="388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69</xdr:row>
      <xdr:rowOff>0</xdr:rowOff>
    </xdr:from>
    <xdr:to>
      <xdr:col>20</xdr:col>
      <xdr:colOff>144780</xdr:colOff>
      <xdr:row>70</xdr:row>
      <xdr:rowOff>22860</xdr:rowOff>
    </xdr:to>
    <xdr:pic>
      <xdr:nvPicPr>
        <xdr:cNvPr id="254" name="Picture 253">
          <a:extLst>
            <a:ext uri="{FF2B5EF4-FFF2-40B4-BE49-F238E27FC236}">
              <a16:creationId xmlns:a16="http://schemas.microsoft.com/office/drawing/2014/main" id="{00000000-0008-0000-0000-0000FE000000}"/>
            </a:ext>
          </a:extLst>
        </xdr:cNvPr>
        <xdr:cNvPicPr>
          <a:picLocks noChangeAspect="1" noChangeArrowheads="1"/>
        </xdr:cNvPicPr>
      </xdr:nvPicPr>
      <xdr:blipFill>
        <a:blip xmlns:r="http://schemas.openxmlformats.org/officeDocument/2006/relationships" r:embed="rId15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2618720"/>
          <a:ext cx="144780" cy="20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68</xdr:row>
      <xdr:rowOff>0</xdr:rowOff>
    </xdr:from>
    <xdr:to>
      <xdr:col>20</xdr:col>
      <xdr:colOff>144780</xdr:colOff>
      <xdr:row>69</xdr:row>
      <xdr:rowOff>22860</xdr:rowOff>
    </xdr:to>
    <xdr:pic>
      <xdr:nvPicPr>
        <xdr:cNvPr id="257" name="Picture 256">
          <a:extLst>
            <a:ext uri="{FF2B5EF4-FFF2-40B4-BE49-F238E27FC236}">
              <a16:creationId xmlns:a16="http://schemas.microsoft.com/office/drawing/2014/main" id="{00000000-0008-0000-0000-000001010000}"/>
            </a:ext>
          </a:extLst>
        </xdr:cNvPr>
        <xdr:cNvPicPr>
          <a:picLocks noChangeAspect="1" noChangeArrowheads="1"/>
        </xdr:cNvPicPr>
      </xdr:nvPicPr>
      <xdr:blipFill>
        <a:blip xmlns:r="http://schemas.openxmlformats.org/officeDocument/2006/relationships" r:embed="rId15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0904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72</xdr:row>
      <xdr:rowOff>0</xdr:rowOff>
    </xdr:from>
    <xdr:to>
      <xdr:col>20</xdr:col>
      <xdr:colOff>144780</xdr:colOff>
      <xdr:row>73</xdr:row>
      <xdr:rowOff>22860</xdr:rowOff>
    </xdr:to>
    <xdr:pic>
      <xdr:nvPicPr>
        <xdr:cNvPr id="258" name="Picture 257">
          <a:extLst>
            <a:ext uri="{FF2B5EF4-FFF2-40B4-BE49-F238E27FC236}">
              <a16:creationId xmlns:a16="http://schemas.microsoft.com/office/drawing/2014/main" id="{00000000-0008-0000-0000-000002010000}"/>
            </a:ext>
          </a:extLst>
        </xdr:cNvPr>
        <xdr:cNvPicPr>
          <a:picLocks noChangeAspect="1" noChangeArrowheads="1"/>
        </xdr:cNvPicPr>
      </xdr:nvPicPr>
      <xdr:blipFill>
        <a:blip xmlns:r="http://schemas.openxmlformats.org/officeDocument/2006/relationships" r:embed="rId15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4460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73</xdr:row>
      <xdr:rowOff>0</xdr:rowOff>
    </xdr:from>
    <xdr:to>
      <xdr:col>20</xdr:col>
      <xdr:colOff>144780</xdr:colOff>
      <xdr:row>74</xdr:row>
      <xdr:rowOff>22860</xdr:rowOff>
    </xdr:to>
    <xdr:pic>
      <xdr:nvPicPr>
        <xdr:cNvPr id="259" name="Picture 258">
          <a:extLst>
            <a:ext uri="{FF2B5EF4-FFF2-40B4-BE49-F238E27FC236}">
              <a16:creationId xmlns:a16="http://schemas.microsoft.com/office/drawing/2014/main" id="{00000000-0008-0000-0000-000003010000}"/>
            </a:ext>
          </a:extLst>
        </xdr:cNvPr>
        <xdr:cNvPicPr>
          <a:picLocks noChangeAspect="1" noChangeArrowheads="1"/>
        </xdr:cNvPicPr>
      </xdr:nvPicPr>
      <xdr:blipFill>
        <a:blip xmlns:r="http://schemas.openxmlformats.org/officeDocument/2006/relationships" r:embed="rId15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6238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74</xdr:row>
      <xdr:rowOff>0</xdr:rowOff>
    </xdr:from>
    <xdr:to>
      <xdr:col>20</xdr:col>
      <xdr:colOff>144780</xdr:colOff>
      <xdr:row>75</xdr:row>
      <xdr:rowOff>22860</xdr:rowOff>
    </xdr:to>
    <xdr:pic>
      <xdr:nvPicPr>
        <xdr:cNvPr id="260" name="Picture 259">
          <a:extLst>
            <a:ext uri="{FF2B5EF4-FFF2-40B4-BE49-F238E27FC236}">
              <a16:creationId xmlns:a16="http://schemas.microsoft.com/office/drawing/2014/main" id="{00000000-0008-0000-0000-000004010000}"/>
            </a:ext>
          </a:extLst>
        </xdr:cNvPr>
        <xdr:cNvPicPr>
          <a:picLocks noChangeAspect="1" noChangeArrowheads="1"/>
        </xdr:cNvPicPr>
      </xdr:nvPicPr>
      <xdr:blipFill>
        <a:blip xmlns:r="http://schemas.openxmlformats.org/officeDocument/2006/relationships" r:embed="rId15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8016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77</xdr:row>
      <xdr:rowOff>0</xdr:rowOff>
    </xdr:from>
    <xdr:to>
      <xdr:col>20</xdr:col>
      <xdr:colOff>144780</xdr:colOff>
      <xdr:row>78</xdr:row>
      <xdr:rowOff>22860</xdr:rowOff>
    </xdr:to>
    <xdr:pic>
      <xdr:nvPicPr>
        <xdr:cNvPr id="262" name="Picture 261">
          <a:extLst>
            <a:ext uri="{FF2B5EF4-FFF2-40B4-BE49-F238E27FC236}">
              <a16:creationId xmlns:a16="http://schemas.microsoft.com/office/drawing/2014/main" id="{00000000-0008-0000-0000-000006010000}"/>
            </a:ext>
          </a:extLst>
        </xdr:cNvPr>
        <xdr:cNvPicPr>
          <a:picLocks noChangeAspect="1" noChangeArrowheads="1"/>
        </xdr:cNvPicPr>
      </xdr:nvPicPr>
      <xdr:blipFill>
        <a:blip xmlns:r="http://schemas.openxmlformats.org/officeDocument/2006/relationships" r:embed="rId15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4460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76</xdr:row>
      <xdr:rowOff>0</xdr:rowOff>
    </xdr:from>
    <xdr:to>
      <xdr:col>20</xdr:col>
      <xdr:colOff>144780</xdr:colOff>
      <xdr:row>77</xdr:row>
      <xdr:rowOff>22860</xdr:rowOff>
    </xdr:to>
    <xdr:pic>
      <xdr:nvPicPr>
        <xdr:cNvPr id="263" name="Picture 262">
          <a:extLst>
            <a:ext uri="{FF2B5EF4-FFF2-40B4-BE49-F238E27FC236}">
              <a16:creationId xmlns:a16="http://schemas.microsoft.com/office/drawing/2014/main" id="{00000000-0008-0000-0000-000007010000}"/>
            </a:ext>
          </a:extLst>
        </xdr:cNvPr>
        <xdr:cNvPicPr>
          <a:picLocks noChangeAspect="1" noChangeArrowheads="1"/>
        </xdr:cNvPicPr>
      </xdr:nvPicPr>
      <xdr:blipFill>
        <a:blip xmlns:r="http://schemas.openxmlformats.org/officeDocument/2006/relationships" r:embed="rId15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2682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71</xdr:row>
      <xdr:rowOff>0</xdr:rowOff>
    </xdr:from>
    <xdr:to>
      <xdr:col>20</xdr:col>
      <xdr:colOff>144780</xdr:colOff>
      <xdr:row>72</xdr:row>
      <xdr:rowOff>22860</xdr:rowOff>
    </xdr:to>
    <xdr:pic>
      <xdr:nvPicPr>
        <xdr:cNvPr id="265" name="Picture 264">
          <a:extLst>
            <a:ext uri="{FF2B5EF4-FFF2-40B4-BE49-F238E27FC236}">
              <a16:creationId xmlns:a16="http://schemas.microsoft.com/office/drawing/2014/main" id="{00000000-0008-0000-0000-000009010000}"/>
            </a:ext>
          </a:extLst>
        </xdr:cNvPr>
        <xdr:cNvPicPr>
          <a:picLocks noChangeAspect="1" noChangeArrowheads="1"/>
        </xdr:cNvPicPr>
      </xdr:nvPicPr>
      <xdr:blipFill>
        <a:blip xmlns:r="http://schemas.openxmlformats.org/officeDocument/2006/relationships" r:embed="rId15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6238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28</xdr:col>
      <xdr:colOff>0</xdr:colOff>
      <xdr:row>60</xdr:row>
      <xdr:rowOff>154940</xdr:rowOff>
    </xdr:from>
    <xdr:to>
      <xdr:col>31</xdr:col>
      <xdr:colOff>157480</xdr:colOff>
      <xdr:row>62</xdr:row>
      <xdr:rowOff>0</xdr:rowOff>
    </xdr:to>
    <xdr:pic>
      <xdr:nvPicPr>
        <xdr:cNvPr id="298" name="Picture 297">
          <a:extLst>
            <a:ext uri="{FF2B5EF4-FFF2-40B4-BE49-F238E27FC236}">
              <a16:creationId xmlns:a16="http://schemas.microsoft.com/office/drawing/2014/main" id="{00000000-0008-0000-0000-00002A010000}"/>
            </a:ext>
          </a:extLst>
        </xdr:cNvPr>
        <xdr:cNvPicPr>
          <a:picLocks noChangeAspect="1" noChangeArrowheads="1"/>
        </xdr:cNvPicPr>
      </xdr:nvPicPr>
      <xdr:blipFill>
        <a:blip xmlns:r="http://schemas.openxmlformats.org/officeDocument/2006/relationships" r:embed="rId15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3672800" y="10822940"/>
          <a:ext cx="17195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28</xdr:col>
      <xdr:colOff>0</xdr:colOff>
      <xdr:row>61</xdr:row>
      <xdr:rowOff>154940</xdr:rowOff>
    </xdr:from>
    <xdr:to>
      <xdr:col>31</xdr:col>
      <xdr:colOff>172720</xdr:colOff>
      <xdr:row>63</xdr:row>
      <xdr:rowOff>0</xdr:rowOff>
    </xdr:to>
    <xdr:pic>
      <xdr:nvPicPr>
        <xdr:cNvPr id="299" name="Picture 298">
          <a:extLst>
            <a:ext uri="{FF2B5EF4-FFF2-40B4-BE49-F238E27FC236}">
              <a16:creationId xmlns:a16="http://schemas.microsoft.com/office/drawing/2014/main" id="{00000000-0008-0000-0000-00002B010000}"/>
            </a:ext>
          </a:extLst>
        </xdr:cNvPr>
        <xdr:cNvPicPr>
          <a:picLocks noChangeAspect="1" noChangeArrowheads="1"/>
        </xdr:cNvPicPr>
      </xdr:nvPicPr>
      <xdr:blipFill>
        <a:blip xmlns:r="http://schemas.openxmlformats.org/officeDocument/2006/relationships" r:embed="rId15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3672800" y="11000740"/>
          <a:ext cx="173482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28</xdr:col>
      <xdr:colOff>0</xdr:colOff>
      <xdr:row>62</xdr:row>
      <xdr:rowOff>154940</xdr:rowOff>
    </xdr:from>
    <xdr:to>
      <xdr:col>31</xdr:col>
      <xdr:colOff>172720</xdr:colOff>
      <xdr:row>64</xdr:row>
      <xdr:rowOff>0</xdr:rowOff>
    </xdr:to>
    <xdr:pic>
      <xdr:nvPicPr>
        <xdr:cNvPr id="300" name="Picture 299">
          <a:extLst>
            <a:ext uri="{FF2B5EF4-FFF2-40B4-BE49-F238E27FC236}">
              <a16:creationId xmlns:a16="http://schemas.microsoft.com/office/drawing/2014/main" id="{00000000-0008-0000-0000-00002C010000}"/>
            </a:ext>
          </a:extLst>
        </xdr:cNvPr>
        <xdr:cNvPicPr>
          <a:picLocks noChangeAspect="1" noChangeArrowheads="1"/>
        </xdr:cNvPicPr>
      </xdr:nvPicPr>
      <xdr:blipFill>
        <a:blip xmlns:r="http://schemas.openxmlformats.org/officeDocument/2006/relationships" r:embed="rId15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3672800" y="11178540"/>
          <a:ext cx="173482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28</xdr:col>
      <xdr:colOff>0</xdr:colOff>
      <xdr:row>63</xdr:row>
      <xdr:rowOff>154940</xdr:rowOff>
    </xdr:from>
    <xdr:to>
      <xdr:col>31</xdr:col>
      <xdr:colOff>172720</xdr:colOff>
      <xdr:row>65</xdr:row>
      <xdr:rowOff>0</xdr:rowOff>
    </xdr:to>
    <xdr:pic>
      <xdr:nvPicPr>
        <xdr:cNvPr id="302" name="Picture 301">
          <a:extLst>
            <a:ext uri="{FF2B5EF4-FFF2-40B4-BE49-F238E27FC236}">
              <a16:creationId xmlns:a16="http://schemas.microsoft.com/office/drawing/2014/main" id="{00000000-0008-0000-0000-00002E010000}"/>
            </a:ext>
          </a:extLst>
        </xdr:cNvPr>
        <xdr:cNvPicPr>
          <a:picLocks noChangeAspect="1" noChangeArrowheads="1"/>
        </xdr:cNvPicPr>
      </xdr:nvPicPr>
      <xdr:blipFill>
        <a:blip xmlns:r="http://schemas.openxmlformats.org/officeDocument/2006/relationships" r:embed="rId15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3672800" y="11356340"/>
          <a:ext cx="173482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32</xdr:col>
      <xdr:colOff>0</xdr:colOff>
      <xdr:row>61</xdr:row>
      <xdr:rowOff>0</xdr:rowOff>
    </xdr:from>
    <xdr:to>
      <xdr:col>33</xdr:col>
      <xdr:colOff>297180</xdr:colOff>
      <xdr:row>62</xdr:row>
      <xdr:rowOff>22860</xdr:rowOff>
    </xdr:to>
    <xdr:pic>
      <xdr:nvPicPr>
        <xdr:cNvPr id="303" name="Picture 302">
          <a:extLst>
            <a:ext uri="{FF2B5EF4-FFF2-40B4-BE49-F238E27FC236}">
              <a16:creationId xmlns:a16="http://schemas.microsoft.com/office/drawing/2014/main" id="{00000000-0008-0000-0000-00002F010000}"/>
            </a:ext>
          </a:extLst>
        </xdr:cNvPr>
        <xdr:cNvPicPr>
          <a:picLocks noChangeAspect="1" noChangeArrowheads="1"/>
        </xdr:cNvPicPr>
      </xdr:nvPicPr>
      <xdr:blipFill>
        <a:blip xmlns:r="http://schemas.openxmlformats.org/officeDocument/2006/relationships" r:embed="rId15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908000" y="11155680"/>
          <a:ext cx="937260" cy="20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32</xdr:col>
      <xdr:colOff>0</xdr:colOff>
      <xdr:row>62</xdr:row>
      <xdr:rowOff>0</xdr:rowOff>
    </xdr:from>
    <xdr:to>
      <xdr:col>33</xdr:col>
      <xdr:colOff>304800</xdr:colOff>
      <xdr:row>63</xdr:row>
      <xdr:rowOff>22860</xdr:rowOff>
    </xdr:to>
    <xdr:pic>
      <xdr:nvPicPr>
        <xdr:cNvPr id="304" name="Picture 303">
          <a:extLst>
            <a:ext uri="{FF2B5EF4-FFF2-40B4-BE49-F238E27FC236}">
              <a16:creationId xmlns:a16="http://schemas.microsoft.com/office/drawing/2014/main" id="{00000000-0008-0000-0000-000030010000}"/>
            </a:ext>
          </a:extLst>
        </xdr:cNvPr>
        <xdr:cNvPicPr>
          <a:picLocks noChangeAspect="1" noChangeArrowheads="1"/>
        </xdr:cNvPicPr>
      </xdr:nvPicPr>
      <xdr:blipFill>
        <a:blip xmlns:r="http://schemas.openxmlformats.org/officeDocument/2006/relationships" r:embed="rId15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908000" y="11338560"/>
          <a:ext cx="944880" cy="20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72</xdr:row>
      <xdr:rowOff>0</xdr:rowOff>
    </xdr:from>
    <xdr:to>
      <xdr:col>20</xdr:col>
      <xdr:colOff>144780</xdr:colOff>
      <xdr:row>73</xdr:row>
      <xdr:rowOff>22860</xdr:rowOff>
    </xdr:to>
    <xdr:pic>
      <xdr:nvPicPr>
        <xdr:cNvPr id="305" name="Picture 304">
          <a:extLst>
            <a:ext uri="{FF2B5EF4-FFF2-40B4-BE49-F238E27FC236}">
              <a16:creationId xmlns:a16="http://schemas.microsoft.com/office/drawing/2014/main" id="{00000000-0008-0000-0000-000031010000}"/>
            </a:ext>
          </a:extLst>
        </xdr:cNvPr>
        <xdr:cNvPicPr>
          <a:picLocks noChangeAspect="1" noChangeArrowheads="1"/>
        </xdr:cNvPicPr>
      </xdr:nvPicPr>
      <xdr:blipFill>
        <a:blip xmlns:r="http://schemas.openxmlformats.org/officeDocument/2006/relationships" r:embed="rId15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2682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71</xdr:row>
      <xdr:rowOff>0</xdr:rowOff>
    </xdr:from>
    <xdr:to>
      <xdr:col>20</xdr:col>
      <xdr:colOff>144780</xdr:colOff>
      <xdr:row>72</xdr:row>
      <xdr:rowOff>22860</xdr:rowOff>
    </xdr:to>
    <xdr:pic>
      <xdr:nvPicPr>
        <xdr:cNvPr id="306" name="Picture 305">
          <a:extLst>
            <a:ext uri="{FF2B5EF4-FFF2-40B4-BE49-F238E27FC236}">
              <a16:creationId xmlns:a16="http://schemas.microsoft.com/office/drawing/2014/main" id="{00000000-0008-0000-0000-000032010000}"/>
            </a:ext>
          </a:extLst>
        </xdr:cNvPr>
        <xdr:cNvPicPr>
          <a:picLocks noChangeAspect="1" noChangeArrowheads="1"/>
        </xdr:cNvPicPr>
      </xdr:nvPicPr>
      <xdr:blipFill>
        <a:blip xmlns:r="http://schemas.openxmlformats.org/officeDocument/2006/relationships" r:embed="rId15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0904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77</xdr:row>
      <xdr:rowOff>0</xdr:rowOff>
    </xdr:from>
    <xdr:to>
      <xdr:col>20</xdr:col>
      <xdr:colOff>144780</xdr:colOff>
      <xdr:row>78</xdr:row>
      <xdr:rowOff>22860</xdr:rowOff>
    </xdr:to>
    <xdr:pic>
      <xdr:nvPicPr>
        <xdr:cNvPr id="307" name="Picture 306">
          <a:extLst>
            <a:ext uri="{FF2B5EF4-FFF2-40B4-BE49-F238E27FC236}">
              <a16:creationId xmlns:a16="http://schemas.microsoft.com/office/drawing/2014/main" id="{00000000-0008-0000-0000-000033010000}"/>
            </a:ext>
          </a:extLst>
        </xdr:cNvPr>
        <xdr:cNvPicPr>
          <a:picLocks noChangeAspect="1" noChangeArrowheads="1"/>
        </xdr:cNvPicPr>
      </xdr:nvPicPr>
      <xdr:blipFill>
        <a:blip xmlns:r="http://schemas.openxmlformats.org/officeDocument/2006/relationships" r:embed="rId15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2682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76</xdr:row>
      <xdr:rowOff>0</xdr:rowOff>
    </xdr:from>
    <xdr:to>
      <xdr:col>20</xdr:col>
      <xdr:colOff>144780</xdr:colOff>
      <xdr:row>77</xdr:row>
      <xdr:rowOff>22860</xdr:rowOff>
    </xdr:to>
    <xdr:pic>
      <xdr:nvPicPr>
        <xdr:cNvPr id="308" name="Picture 307">
          <a:extLst>
            <a:ext uri="{FF2B5EF4-FFF2-40B4-BE49-F238E27FC236}">
              <a16:creationId xmlns:a16="http://schemas.microsoft.com/office/drawing/2014/main" id="{00000000-0008-0000-0000-000034010000}"/>
            </a:ext>
          </a:extLst>
        </xdr:cNvPr>
        <xdr:cNvPicPr>
          <a:picLocks noChangeAspect="1" noChangeArrowheads="1"/>
        </xdr:cNvPicPr>
      </xdr:nvPicPr>
      <xdr:blipFill>
        <a:blip xmlns:r="http://schemas.openxmlformats.org/officeDocument/2006/relationships" r:embed="rId15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580100" y="12090400"/>
          <a:ext cx="144780" cy="200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80</xdr:row>
      <xdr:rowOff>0</xdr:rowOff>
    </xdr:from>
    <xdr:to>
      <xdr:col>23</xdr:col>
      <xdr:colOff>586740</xdr:colOff>
      <xdr:row>82</xdr:row>
      <xdr:rowOff>15240</xdr:rowOff>
    </xdr:to>
    <xdr:pic>
      <xdr:nvPicPr>
        <xdr:cNvPr id="309" name="Picture 308">
          <a:extLst>
            <a:ext uri="{FF2B5EF4-FFF2-40B4-BE49-F238E27FC236}">
              <a16:creationId xmlns:a16="http://schemas.microsoft.com/office/drawing/2014/main" id="{00000000-0008-0000-0000-000035010000}"/>
            </a:ext>
          </a:extLst>
        </xdr:cNvPr>
        <xdr:cNvPicPr>
          <a:picLocks noChangeAspect="1" noChangeArrowheads="1"/>
        </xdr:cNvPicPr>
      </xdr:nvPicPr>
      <xdr:blipFill>
        <a:blip xmlns:r="http://schemas.openxmlformats.org/officeDocument/2006/relationships" r:embed="rId16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4630400"/>
          <a:ext cx="254508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82</xdr:row>
      <xdr:rowOff>0</xdr:rowOff>
    </xdr:from>
    <xdr:to>
      <xdr:col>23</xdr:col>
      <xdr:colOff>274320</xdr:colOff>
      <xdr:row>84</xdr:row>
      <xdr:rowOff>15240</xdr:rowOff>
    </xdr:to>
    <xdr:pic>
      <xdr:nvPicPr>
        <xdr:cNvPr id="310" name="Picture 309">
          <a:extLst>
            <a:ext uri="{FF2B5EF4-FFF2-40B4-BE49-F238E27FC236}">
              <a16:creationId xmlns:a16="http://schemas.microsoft.com/office/drawing/2014/main" id="{00000000-0008-0000-0000-000036010000}"/>
            </a:ext>
          </a:extLst>
        </xdr:cNvPr>
        <xdr:cNvPicPr>
          <a:picLocks noChangeAspect="1" noChangeArrowheads="1"/>
        </xdr:cNvPicPr>
      </xdr:nvPicPr>
      <xdr:blipFill>
        <a:blip xmlns:r="http://schemas.openxmlformats.org/officeDocument/2006/relationships" r:embed="rId16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4996160"/>
          <a:ext cx="223266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84</xdr:row>
      <xdr:rowOff>0</xdr:rowOff>
    </xdr:from>
    <xdr:to>
      <xdr:col>23</xdr:col>
      <xdr:colOff>594360</xdr:colOff>
      <xdr:row>86</xdr:row>
      <xdr:rowOff>15240</xdr:rowOff>
    </xdr:to>
    <xdr:pic>
      <xdr:nvPicPr>
        <xdr:cNvPr id="311" name="Picture 310">
          <a:extLst>
            <a:ext uri="{FF2B5EF4-FFF2-40B4-BE49-F238E27FC236}">
              <a16:creationId xmlns:a16="http://schemas.microsoft.com/office/drawing/2014/main" id="{00000000-0008-0000-0000-000037010000}"/>
            </a:ext>
          </a:extLst>
        </xdr:cNvPr>
        <xdr:cNvPicPr>
          <a:picLocks noChangeAspect="1" noChangeArrowheads="1"/>
        </xdr:cNvPicPr>
      </xdr:nvPicPr>
      <xdr:blipFill>
        <a:blip xmlns:r="http://schemas.openxmlformats.org/officeDocument/2006/relationships" r:embed="rId16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5361920"/>
          <a:ext cx="25527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86</xdr:row>
      <xdr:rowOff>0</xdr:rowOff>
    </xdr:from>
    <xdr:to>
      <xdr:col>23</xdr:col>
      <xdr:colOff>373380</xdr:colOff>
      <xdr:row>88</xdr:row>
      <xdr:rowOff>15240</xdr:rowOff>
    </xdr:to>
    <xdr:pic>
      <xdr:nvPicPr>
        <xdr:cNvPr id="312" name="Picture 311">
          <a:extLst>
            <a:ext uri="{FF2B5EF4-FFF2-40B4-BE49-F238E27FC236}">
              <a16:creationId xmlns:a16="http://schemas.microsoft.com/office/drawing/2014/main" id="{00000000-0008-0000-0000-000038010000}"/>
            </a:ext>
          </a:extLst>
        </xdr:cNvPr>
        <xdr:cNvPicPr>
          <a:picLocks noChangeAspect="1" noChangeArrowheads="1"/>
        </xdr:cNvPicPr>
      </xdr:nvPicPr>
      <xdr:blipFill>
        <a:blip xmlns:r="http://schemas.openxmlformats.org/officeDocument/2006/relationships" r:embed="rId16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5727680"/>
          <a:ext cx="233172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88</xdr:row>
      <xdr:rowOff>0</xdr:rowOff>
    </xdr:from>
    <xdr:to>
      <xdr:col>23</xdr:col>
      <xdr:colOff>609600</xdr:colOff>
      <xdr:row>90</xdr:row>
      <xdr:rowOff>7620</xdr:rowOff>
    </xdr:to>
    <xdr:pic>
      <xdr:nvPicPr>
        <xdr:cNvPr id="313" name="Picture 312">
          <a:extLst>
            <a:ext uri="{FF2B5EF4-FFF2-40B4-BE49-F238E27FC236}">
              <a16:creationId xmlns:a16="http://schemas.microsoft.com/office/drawing/2014/main" id="{00000000-0008-0000-0000-000039010000}"/>
            </a:ext>
          </a:extLst>
        </xdr:cNvPr>
        <xdr:cNvPicPr>
          <a:picLocks noChangeAspect="1" noChangeArrowheads="1"/>
        </xdr:cNvPicPr>
      </xdr:nvPicPr>
      <xdr:blipFill>
        <a:blip xmlns:r="http://schemas.openxmlformats.org/officeDocument/2006/relationships" r:embed="rId16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6093440"/>
          <a:ext cx="256794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90</xdr:row>
      <xdr:rowOff>0</xdr:rowOff>
    </xdr:from>
    <xdr:to>
      <xdr:col>23</xdr:col>
      <xdr:colOff>281940</xdr:colOff>
      <xdr:row>92</xdr:row>
      <xdr:rowOff>15240</xdr:rowOff>
    </xdr:to>
    <xdr:pic>
      <xdr:nvPicPr>
        <xdr:cNvPr id="314" name="Picture 313">
          <a:extLst>
            <a:ext uri="{FF2B5EF4-FFF2-40B4-BE49-F238E27FC236}">
              <a16:creationId xmlns:a16="http://schemas.microsoft.com/office/drawing/2014/main" id="{00000000-0008-0000-0000-00003A010000}"/>
            </a:ext>
          </a:extLst>
        </xdr:cNvPr>
        <xdr:cNvPicPr>
          <a:picLocks noChangeAspect="1" noChangeArrowheads="1"/>
        </xdr:cNvPicPr>
      </xdr:nvPicPr>
      <xdr:blipFill>
        <a:blip xmlns:r="http://schemas.openxmlformats.org/officeDocument/2006/relationships" r:embed="rId16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6459200"/>
          <a:ext cx="224028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92</xdr:row>
      <xdr:rowOff>0</xdr:rowOff>
    </xdr:from>
    <xdr:to>
      <xdr:col>23</xdr:col>
      <xdr:colOff>601980</xdr:colOff>
      <xdr:row>94</xdr:row>
      <xdr:rowOff>15240</xdr:rowOff>
    </xdr:to>
    <xdr:pic>
      <xdr:nvPicPr>
        <xdr:cNvPr id="315" name="Picture 314">
          <a:extLst>
            <a:ext uri="{FF2B5EF4-FFF2-40B4-BE49-F238E27FC236}">
              <a16:creationId xmlns:a16="http://schemas.microsoft.com/office/drawing/2014/main" id="{00000000-0008-0000-0000-00003B010000}"/>
            </a:ext>
          </a:extLst>
        </xdr:cNvPr>
        <xdr:cNvPicPr>
          <a:picLocks noChangeAspect="1" noChangeArrowheads="1"/>
        </xdr:cNvPicPr>
      </xdr:nvPicPr>
      <xdr:blipFill>
        <a:blip xmlns:r="http://schemas.openxmlformats.org/officeDocument/2006/relationships" r:embed="rId16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6824960"/>
          <a:ext cx="256032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0</xdr:colOff>
      <xdr:row>94</xdr:row>
      <xdr:rowOff>0</xdr:rowOff>
    </xdr:from>
    <xdr:to>
      <xdr:col>23</xdr:col>
      <xdr:colOff>381000</xdr:colOff>
      <xdr:row>96</xdr:row>
      <xdr:rowOff>15240</xdr:rowOff>
    </xdr:to>
    <xdr:pic>
      <xdr:nvPicPr>
        <xdr:cNvPr id="316" name="Picture 315">
          <a:extLst>
            <a:ext uri="{FF2B5EF4-FFF2-40B4-BE49-F238E27FC236}">
              <a16:creationId xmlns:a16="http://schemas.microsoft.com/office/drawing/2014/main" id="{00000000-0008-0000-0000-00003C010000}"/>
            </a:ext>
          </a:extLst>
        </xdr:cNvPr>
        <xdr:cNvPicPr>
          <a:picLocks noChangeAspect="1" noChangeArrowheads="1"/>
        </xdr:cNvPicPr>
      </xdr:nvPicPr>
      <xdr:blipFill>
        <a:blip xmlns:r="http://schemas.openxmlformats.org/officeDocument/2006/relationships" r:embed="rId16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8615660" y="17190720"/>
          <a:ext cx="233934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0</xdr:colOff>
      <xdr:row>80</xdr:row>
      <xdr:rowOff>0</xdr:rowOff>
    </xdr:from>
    <xdr:to>
      <xdr:col>29</xdr:col>
      <xdr:colOff>251460</xdr:colOff>
      <xdr:row>82</xdr:row>
      <xdr:rowOff>7620</xdr:rowOff>
    </xdr:to>
    <xdr:pic>
      <xdr:nvPicPr>
        <xdr:cNvPr id="317" name="Picture 316">
          <a:extLst>
            <a:ext uri="{FF2B5EF4-FFF2-40B4-BE49-F238E27FC236}">
              <a16:creationId xmlns:a16="http://schemas.microsoft.com/office/drawing/2014/main" id="{00000000-0008-0000-0000-00003D010000}"/>
            </a:ext>
          </a:extLst>
        </xdr:cNvPr>
        <xdr:cNvPicPr>
          <a:picLocks noChangeAspect="1" noChangeArrowheads="1"/>
        </xdr:cNvPicPr>
      </xdr:nvPicPr>
      <xdr:blipFill>
        <a:blip xmlns:r="http://schemas.openxmlformats.org/officeDocument/2006/relationships" r:embed="rId16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953220" y="14630400"/>
          <a:ext cx="256794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0</xdr:colOff>
      <xdr:row>82</xdr:row>
      <xdr:rowOff>0</xdr:rowOff>
    </xdr:from>
    <xdr:to>
      <xdr:col>28</xdr:col>
      <xdr:colOff>472440</xdr:colOff>
      <xdr:row>84</xdr:row>
      <xdr:rowOff>7620</xdr:rowOff>
    </xdr:to>
    <xdr:pic>
      <xdr:nvPicPr>
        <xdr:cNvPr id="318" name="Picture 317">
          <a:extLst>
            <a:ext uri="{FF2B5EF4-FFF2-40B4-BE49-F238E27FC236}">
              <a16:creationId xmlns:a16="http://schemas.microsoft.com/office/drawing/2014/main" id="{00000000-0008-0000-0000-00003E010000}"/>
            </a:ext>
          </a:extLst>
        </xdr:cNvPr>
        <xdr:cNvPicPr>
          <a:picLocks noChangeAspect="1" noChangeArrowheads="1"/>
        </xdr:cNvPicPr>
      </xdr:nvPicPr>
      <xdr:blipFill>
        <a:blip xmlns:r="http://schemas.openxmlformats.org/officeDocument/2006/relationships" r:embed="rId16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953220" y="14996160"/>
          <a:ext cx="225552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0</xdr:colOff>
      <xdr:row>84</xdr:row>
      <xdr:rowOff>0</xdr:rowOff>
    </xdr:from>
    <xdr:to>
      <xdr:col>29</xdr:col>
      <xdr:colOff>243840</xdr:colOff>
      <xdr:row>86</xdr:row>
      <xdr:rowOff>15240</xdr:rowOff>
    </xdr:to>
    <xdr:pic>
      <xdr:nvPicPr>
        <xdr:cNvPr id="319" name="Picture 318">
          <a:extLst>
            <a:ext uri="{FF2B5EF4-FFF2-40B4-BE49-F238E27FC236}">
              <a16:creationId xmlns:a16="http://schemas.microsoft.com/office/drawing/2014/main" id="{00000000-0008-0000-0000-00003F010000}"/>
            </a:ext>
          </a:extLst>
        </xdr:cNvPr>
        <xdr:cNvPicPr>
          <a:picLocks noChangeAspect="1" noChangeArrowheads="1"/>
        </xdr:cNvPicPr>
      </xdr:nvPicPr>
      <xdr:blipFill>
        <a:blip xmlns:r="http://schemas.openxmlformats.org/officeDocument/2006/relationships" r:embed="rId17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953220" y="15361920"/>
          <a:ext cx="256032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0</xdr:colOff>
      <xdr:row>86</xdr:row>
      <xdr:rowOff>0</xdr:rowOff>
    </xdr:from>
    <xdr:to>
      <xdr:col>29</xdr:col>
      <xdr:colOff>22860</xdr:colOff>
      <xdr:row>88</xdr:row>
      <xdr:rowOff>15240</xdr:rowOff>
    </xdr:to>
    <xdr:pic>
      <xdr:nvPicPr>
        <xdr:cNvPr id="320" name="Picture 319">
          <a:extLst>
            <a:ext uri="{FF2B5EF4-FFF2-40B4-BE49-F238E27FC236}">
              <a16:creationId xmlns:a16="http://schemas.microsoft.com/office/drawing/2014/main" id="{00000000-0008-0000-0000-000040010000}"/>
            </a:ext>
          </a:extLst>
        </xdr:cNvPr>
        <xdr:cNvPicPr>
          <a:picLocks noChangeAspect="1" noChangeArrowheads="1"/>
        </xdr:cNvPicPr>
      </xdr:nvPicPr>
      <xdr:blipFill>
        <a:blip xmlns:r="http://schemas.openxmlformats.org/officeDocument/2006/relationships" r:embed="rId17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953220" y="15727680"/>
          <a:ext cx="233934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0</xdr:colOff>
      <xdr:row>88</xdr:row>
      <xdr:rowOff>0</xdr:rowOff>
    </xdr:from>
    <xdr:to>
      <xdr:col>29</xdr:col>
      <xdr:colOff>251460</xdr:colOff>
      <xdr:row>90</xdr:row>
      <xdr:rowOff>7620</xdr:rowOff>
    </xdr:to>
    <xdr:pic>
      <xdr:nvPicPr>
        <xdr:cNvPr id="321" name="Picture 320">
          <a:extLst>
            <a:ext uri="{FF2B5EF4-FFF2-40B4-BE49-F238E27FC236}">
              <a16:creationId xmlns:a16="http://schemas.microsoft.com/office/drawing/2014/main" id="{00000000-0008-0000-0000-000041010000}"/>
            </a:ext>
          </a:extLst>
        </xdr:cNvPr>
        <xdr:cNvPicPr>
          <a:picLocks noChangeAspect="1" noChangeArrowheads="1"/>
        </xdr:cNvPicPr>
      </xdr:nvPicPr>
      <xdr:blipFill>
        <a:blip xmlns:r="http://schemas.openxmlformats.org/officeDocument/2006/relationships" r:embed="rId17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953220" y="16093440"/>
          <a:ext cx="256794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0</xdr:colOff>
      <xdr:row>90</xdr:row>
      <xdr:rowOff>0</xdr:rowOff>
    </xdr:from>
    <xdr:to>
      <xdr:col>28</xdr:col>
      <xdr:colOff>472440</xdr:colOff>
      <xdr:row>92</xdr:row>
      <xdr:rowOff>7620</xdr:rowOff>
    </xdr:to>
    <xdr:pic>
      <xdr:nvPicPr>
        <xdr:cNvPr id="322" name="Picture 321">
          <a:extLst>
            <a:ext uri="{FF2B5EF4-FFF2-40B4-BE49-F238E27FC236}">
              <a16:creationId xmlns:a16="http://schemas.microsoft.com/office/drawing/2014/main" id="{00000000-0008-0000-0000-000042010000}"/>
            </a:ext>
          </a:extLst>
        </xdr:cNvPr>
        <xdr:cNvPicPr>
          <a:picLocks noChangeAspect="1" noChangeArrowheads="1"/>
        </xdr:cNvPicPr>
      </xdr:nvPicPr>
      <xdr:blipFill>
        <a:blip xmlns:r="http://schemas.openxmlformats.org/officeDocument/2006/relationships" r:embed="rId17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953220" y="16459200"/>
          <a:ext cx="225552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0</xdr:colOff>
      <xdr:row>92</xdr:row>
      <xdr:rowOff>0</xdr:rowOff>
    </xdr:from>
    <xdr:to>
      <xdr:col>29</xdr:col>
      <xdr:colOff>259080</xdr:colOff>
      <xdr:row>94</xdr:row>
      <xdr:rowOff>7620</xdr:rowOff>
    </xdr:to>
    <xdr:pic>
      <xdr:nvPicPr>
        <xdr:cNvPr id="323" name="Picture 322">
          <a:extLst>
            <a:ext uri="{FF2B5EF4-FFF2-40B4-BE49-F238E27FC236}">
              <a16:creationId xmlns:a16="http://schemas.microsoft.com/office/drawing/2014/main" id="{00000000-0008-0000-0000-000043010000}"/>
            </a:ext>
          </a:extLst>
        </xdr:cNvPr>
        <xdr:cNvPicPr>
          <a:picLocks noChangeAspect="1" noChangeArrowheads="1"/>
        </xdr:cNvPicPr>
      </xdr:nvPicPr>
      <xdr:blipFill>
        <a:blip xmlns:r="http://schemas.openxmlformats.org/officeDocument/2006/relationships" r:embed="rId174">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953220" y="16824960"/>
          <a:ext cx="257556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25</xdr:col>
      <xdr:colOff>0</xdr:colOff>
      <xdr:row>94</xdr:row>
      <xdr:rowOff>0</xdr:rowOff>
    </xdr:from>
    <xdr:to>
      <xdr:col>29</xdr:col>
      <xdr:colOff>22860</xdr:colOff>
      <xdr:row>96</xdr:row>
      <xdr:rowOff>15240</xdr:rowOff>
    </xdr:to>
    <xdr:pic>
      <xdr:nvPicPr>
        <xdr:cNvPr id="324" name="Picture 323">
          <a:extLst>
            <a:ext uri="{FF2B5EF4-FFF2-40B4-BE49-F238E27FC236}">
              <a16:creationId xmlns:a16="http://schemas.microsoft.com/office/drawing/2014/main" id="{00000000-0008-0000-0000-000044010000}"/>
            </a:ext>
          </a:extLst>
        </xdr:cNvPr>
        <xdr:cNvPicPr>
          <a:picLocks noChangeAspect="1" noChangeArrowheads="1"/>
        </xdr:cNvPicPr>
      </xdr:nvPicPr>
      <xdr:blipFill>
        <a:blip xmlns:r="http://schemas.openxmlformats.org/officeDocument/2006/relationships" r:embed="rId175">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1953220" y="17190720"/>
          <a:ext cx="233934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31</xdr:col>
      <xdr:colOff>0</xdr:colOff>
      <xdr:row>79</xdr:row>
      <xdr:rowOff>0</xdr:rowOff>
    </xdr:from>
    <xdr:to>
      <xdr:col>34</xdr:col>
      <xdr:colOff>381000</xdr:colOff>
      <xdr:row>81</xdr:row>
      <xdr:rowOff>15240</xdr:rowOff>
    </xdr:to>
    <xdr:pic>
      <xdr:nvPicPr>
        <xdr:cNvPr id="325" name="Picture 324">
          <a:extLst>
            <a:ext uri="{FF2B5EF4-FFF2-40B4-BE49-F238E27FC236}">
              <a16:creationId xmlns:a16="http://schemas.microsoft.com/office/drawing/2014/main" id="{00000000-0008-0000-0000-000045010000}"/>
            </a:ext>
          </a:extLst>
        </xdr:cNvPr>
        <xdr:cNvPicPr>
          <a:picLocks noChangeAspect="1" noChangeArrowheads="1"/>
        </xdr:cNvPicPr>
      </xdr:nvPicPr>
      <xdr:blipFill>
        <a:blip xmlns:r="http://schemas.openxmlformats.org/officeDocument/2006/relationships" r:embed="rId176">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450800" y="14447520"/>
          <a:ext cx="227838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31</xdr:col>
      <xdr:colOff>0</xdr:colOff>
      <xdr:row>81</xdr:row>
      <xdr:rowOff>0</xdr:rowOff>
    </xdr:from>
    <xdr:to>
      <xdr:col>34</xdr:col>
      <xdr:colOff>434340</xdr:colOff>
      <xdr:row>83</xdr:row>
      <xdr:rowOff>15240</xdr:rowOff>
    </xdr:to>
    <xdr:pic>
      <xdr:nvPicPr>
        <xdr:cNvPr id="326" name="Picture 325">
          <a:extLst>
            <a:ext uri="{FF2B5EF4-FFF2-40B4-BE49-F238E27FC236}">
              <a16:creationId xmlns:a16="http://schemas.microsoft.com/office/drawing/2014/main" id="{00000000-0008-0000-0000-000046010000}"/>
            </a:ext>
          </a:extLst>
        </xdr:cNvPr>
        <xdr:cNvPicPr>
          <a:picLocks noChangeAspect="1" noChangeArrowheads="1"/>
        </xdr:cNvPicPr>
      </xdr:nvPicPr>
      <xdr:blipFill>
        <a:blip xmlns:r="http://schemas.openxmlformats.org/officeDocument/2006/relationships" r:embed="rId177">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450800" y="14813280"/>
          <a:ext cx="233172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31</xdr:col>
      <xdr:colOff>0</xdr:colOff>
      <xdr:row>83</xdr:row>
      <xdr:rowOff>0</xdr:rowOff>
    </xdr:from>
    <xdr:to>
      <xdr:col>34</xdr:col>
      <xdr:colOff>403860</xdr:colOff>
      <xdr:row>85</xdr:row>
      <xdr:rowOff>7620</xdr:rowOff>
    </xdr:to>
    <xdr:pic>
      <xdr:nvPicPr>
        <xdr:cNvPr id="327" name="Picture 326">
          <a:extLst>
            <a:ext uri="{FF2B5EF4-FFF2-40B4-BE49-F238E27FC236}">
              <a16:creationId xmlns:a16="http://schemas.microsoft.com/office/drawing/2014/main" id="{00000000-0008-0000-0000-000047010000}"/>
            </a:ext>
          </a:extLst>
        </xdr:cNvPr>
        <xdr:cNvPicPr>
          <a:picLocks noChangeAspect="1" noChangeArrowheads="1"/>
        </xdr:cNvPicPr>
      </xdr:nvPicPr>
      <xdr:blipFill>
        <a:blip xmlns:r="http://schemas.openxmlformats.org/officeDocument/2006/relationships" r:embed="rId17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450800" y="15179040"/>
          <a:ext cx="230124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31</xdr:col>
      <xdr:colOff>0</xdr:colOff>
      <xdr:row>85</xdr:row>
      <xdr:rowOff>0</xdr:rowOff>
    </xdr:from>
    <xdr:to>
      <xdr:col>34</xdr:col>
      <xdr:colOff>441960</xdr:colOff>
      <xdr:row>87</xdr:row>
      <xdr:rowOff>15240</xdr:rowOff>
    </xdr:to>
    <xdr:pic>
      <xdr:nvPicPr>
        <xdr:cNvPr id="328" name="Picture 327">
          <a:extLst>
            <a:ext uri="{FF2B5EF4-FFF2-40B4-BE49-F238E27FC236}">
              <a16:creationId xmlns:a16="http://schemas.microsoft.com/office/drawing/2014/main" id="{00000000-0008-0000-0000-000048010000}"/>
            </a:ext>
          </a:extLst>
        </xdr:cNvPr>
        <xdr:cNvPicPr>
          <a:picLocks noChangeAspect="1" noChangeArrowheads="1"/>
        </xdr:cNvPicPr>
      </xdr:nvPicPr>
      <xdr:blipFill>
        <a:blip xmlns:r="http://schemas.openxmlformats.org/officeDocument/2006/relationships" r:embed="rId179">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450800" y="15544800"/>
          <a:ext cx="233934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31</xdr:col>
      <xdr:colOff>0</xdr:colOff>
      <xdr:row>89</xdr:row>
      <xdr:rowOff>0</xdr:rowOff>
    </xdr:from>
    <xdr:to>
      <xdr:col>34</xdr:col>
      <xdr:colOff>327660</xdr:colOff>
      <xdr:row>91</xdr:row>
      <xdr:rowOff>15240</xdr:rowOff>
    </xdr:to>
    <xdr:pic>
      <xdr:nvPicPr>
        <xdr:cNvPr id="329" name="Picture 328">
          <a:extLst>
            <a:ext uri="{FF2B5EF4-FFF2-40B4-BE49-F238E27FC236}">
              <a16:creationId xmlns:a16="http://schemas.microsoft.com/office/drawing/2014/main" id="{00000000-0008-0000-0000-000049010000}"/>
            </a:ext>
          </a:extLst>
        </xdr:cNvPr>
        <xdr:cNvPicPr>
          <a:picLocks noChangeAspect="1" noChangeArrowheads="1"/>
        </xdr:cNvPicPr>
      </xdr:nvPicPr>
      <xdr:blipFill>
        <a:blip xmlns:r="http://schemas.openxmlformats.org/officeDocument/2006/relationships" r:embed="rId180">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450800" y="16276320"/>
          <a:ext cx="222504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31</xdr:col>
      <xdr:colOff>0</xdr:colOff>
      <xdr:row>91</xdr:row>
      <xdr:rowOff>0</xdr:rowOff>
    </xdr:from>
    <xdr:to>
      <xdr:col>34</xdr:col>
      <xdr:colOff>411480</xdr:colOff>
      <xdr:row>93</xdr:row>
      <xdr:rowOff>15240</xdr:rowOff>
    </xdr:to>
    <xdr:pic>
      <xdr:nvPicPr>
        <xdr:cNvPr id="330" name="Picture 329">
          <a:extLst>
            <a:ext uri="{FF2B5EF4-FFF2-40B4-BE49-F238E27FC236}">
              <a16:creationId xmlns:a16="http://schemas.microsoft.com/office/drawing/2014/main" id="{00000000-0008-0000-0000-00004A010000}"/>
            </a:ext>
          </a:extLst>
        </xdr:cNvPr>
        <xdr:cNvPicPr>
          <a:picLocks noChangeAspect="1" noChangeArrowheads="1"/>
        </xdr:cNvPicPr>
      </xdr:nvPicPr>
      <xdr:blipFill>
        <a:blip xmlns:r="http://schemas.openxmlformats.org/officeDocument/2006/relationships" r:embed="rId181">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450800" y="16642080"/>
          <a:ext cx="230886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31</xdr:col>
      <xdr:colOff>0</xdr:colOff>
      <xdr:row>93</xdr:row>
      <xdr:rowOff>0</xdr:rowOff>
    </xdr:from>
    <xdr:to>
      <xdr:col>34</xdr:col>
      <xdr:colOff>350520</xdr:colOff>
      <xdr:row>95</xdr:row>
      <xdr:rowOff>7620</xdr:rowOff>
    </xdr:to>
    <xdr:pic>
      <xdr:nvPicPr>
        <xdr:cNvPr id="331" name="Picture 330">
          <a:extLst>
            <a:ext uri="{FF2B5EF4-FFF2-40B4-BE49-F238E27FC236}">
              <a16:creationId xmlns:a16="http://schemas.microsoft.com/office/drawing/2014/main" id="{00000000-0008-0000-0000-00004B010000}"/>
            </a:ext>
          </a:extLst>
        </xdr:cNvPr>
        <xdr:cNvPicPr>
          <a:picLocks noChangeAspect="1" noChangeArrowheads="1"/>
        </xdr:cNvPicPr>
      </xdr:nvPicPr>
      <xdr:blipFill>
        <a:blip xmlns:r="http://schemas.openxmlformats.org/officeDocument/2006/relationships" r:embed="rId182">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450800" y="17007840"/>
          <a:ext cx="2247900" cy="373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31</xdr:col>
      <xdr:colOff>0</xdr:colOff>
      <xdr:row>95</xdr:row>
      <xdr:rowOff>0</xdr:rowOff>
    </xdr:from>
    <xdr:to>
      <xdr:col>34</xdr:col>
      <xdr:colOff>396240</xdr:colOff>
      <xdr:row>97</xdr:row>
      <xdr:rowOff>15240</xdr:rowOff>
    </xdr:to>
    <xdr:pic>
      <xdr:nvPicPr>
        <xdr:cNvPr id="332" name="Picture 331">
          <a:extLst>
            <a:ext uri="{FF2B5EF4-FFF2-40B4-BE49-F238E27FC236}">
              <a16:creationId xmlns:a16="http://schemas.microsoft.com/office/drawing/2014/main" id="{00000000-0008-0000-0000-00004C010000}"/>
            </a:ext>
          </a:extLst>
        </xdr:cNvPr>
        <xdr:cNvPicPr>
          <a:picLocks noChangeAspect="1" noChangeArrowheads="1"/>
        </xdr:cNvPicPr>
      </xdr:nvPicPr>
      <xdr:blipFill>
        <a:blip xmlns:r="http://schemas.openxmlformats.org/officeDocument/2006/relationships" r:embed="rId183">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25450800" y="17373600"/>
          <a:ext cx="229362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0</xdr:colOff>
      <xdr:row>99</xdr:row>
      <xdr:rowOff>0</xdr:rowOff>
    </xdr:from>
    <xdr:to>
      <xdr:col>22</xdr:col>
      <xdr:colOff>147443</xdr:colOff>
      <xdr:row>101</xdr:row>
      <xdr:rowOff>78778</xdr:rowOff>
    </xdr:to>
    <xdr:pic>
      <xdr:nvPicPr>
        <xdr:cNvPr id="334" name="Picture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184"/>
        <a:stretch>
          <a:fillRect/>
        </a:stretch>
      </xdr:blipFill>
      <xdr:spPr>
        <a:xfrm>
          <a:off x="18580100" y="17602200"/>
          <a:ext cx="1417443" cy="434378"/>
        </a:xfrm>
        <a:prstGeom prst="rect">
          <a:avLst/>
        </a:prstGeom>
      </xdr:spPr>
    </xdr:pic>
    <xdr:clientData/>
  </xdr:twoCellAnchor>
  <xdr:twoCellAnchor editAs="oneCell">
    <xdr:from>
      <xdr:col>28</xdr:col>
      <xdr:colOff>0</xdr:colOff>
      <xdr:row>99</xdr:row>
      <xdr:rowOff>0</xdr:rowOff>
    </xdr:from>
    <xdr:to>
      <xdr:col>32</xdr:col>
      <xdr:colOff>117053</xdr:colOff>
      <xdr:row>101</xdr:row>
      <xdr:rowOff>78778</xdr:rowOff>
    </xdr:to>
    <xdr:pic>
      <xdr:nvPicPr>
        <xdr:cNvPr id="336" name="Picture 335">
          <a:extLst>
            <a:ext uri="{FF2B5EF4-FFF2-40B4-BE49-F238E27FC236}">
              <a16:creationId xmlns:a16="http://schemas.microsoft.com/office/drawing/2014/main" id="{00000000-0008-0000-0000-000050010000}"/>
            </a:ext>
          </a:extLst>
        </xdr:cNvPr>
        <xdr:cNvPicPr>
          <a:picLocks noChangeAspect="1"/>
        </xdr:cNvPicPr>
      </xdr:nvPicPr>
      <xdr:blipFill>
        <a:blip xmlns:r="http://schemas.openxmlformats.org/officeDocument/2006/relationships" r:embed="rId185"/>
        <a:stretch>
          <a:fillRect/>
        </a:stretch>
      </xdr:blipFill>
      <xdr:spPr>
        <a:xfrm>
          <a:off x="23672800" y="17602200"/>
          <a:ext cx="2453853" cy="434378"/>
        </a:xfrm>
        <a:prstGeom prst="rect">
          <a:avLst/>
        </a:prstGeom>
      </xdr:spPr>
    </xdr:pic>
    <xdr:clientData/>
  </xdr:twoCellAnchor>
  <xdr:twoCellAnchor editAs="oneCell">
    <xdr:from>
      <xdr:col>23</xdr:col>
      <xdr:colOff>0</xdr:colOff>
      <xdr:row>99</xdr:row>
      <xdr:rowOff>0</xdr:rowOff>
    </xdr:from>
    <xdr:to>
      <xdr:col>27</xdr:col>
      <xdr:colOff>510802</xdr:colOff>
      <xdr:row>103</xdr:row>
      <xdr:rowOff>20383</xdr:rowOff>
    </xdr:to>
    <xdr:pic>
      <xdr:nvPicPr>
        <xdr:cNvPr id="337" name="Picture 336">
          <a:extLst>
            <a:ext uri="{FF2B5EF4-FFF2-40B4-BE49-F238E27FC236}">
              <a16:creationId xmlns:a16="http://schemas.microsoft.com/office/drawing/2014/main" id="{00000000-0008-0000-0000-000051010000}"/>
            </a:ext>
          </a:extLst>
        </xdr:cNvPr>
        <xdr:cNvPicPr>
          <a:picLocks noChangeAspect="1"/>
        </xdr:cNvPicPr>
      </xdr:nvPicPr>
      <xdr:blipFill>
        <a:blip xmlns:r="http://schemas.openxmlformats.org/officeDocument/2006/relationships" r:embed="rId186"/>
        <a:stretch>
          <a:fillRect/>
        </a:stretch>
      </xdr:blipFill>
      <xdr:spPr>
        <a:xfrm>
          <a:off x="20523200" y="17602200"/>
          <a:ext cx="3025402" cy="731583"/>
        </a:xfrm>
        <a:prstGeom prst="rect">
          <a:avLst/>
        </a:prstGeom>
      </xdr:spPr>
    </xdr:pic>
    <xdr:clientData/>
  </xdr:twoCellAnchor>
  <xdr:twoCellAnchor editAs="oneCell">
    <xdr:from>
      <xdr:col>23</xdr:col>
      <xdr:colOff>740227</xdr:colOff>
      <xdr:row>120</xdr:row>
      <xdr:rowOff>0</xdr:rowOff>
    </xdr:from>
    <xdr:to>
      <xdr:col>31</xdr:col>
      <xdr:colOff>269166</xdr:colOff>
      <xdr:row>130</xdr:row>
      <xdr:rowOff>0</xdr:rowOff>
    </xdr:to>
    <xdr:pic>
      <xdr:nvPicPr>
        <xdr:cNvPr id="339" name="Picture 338">
          <a:extLst>
            <a:ext uri="{FF2B5EF4-FFF2-40B4-BE49-F238E27FC236}">
              <a16:creationId xmlns:a16="http://schemas.microsoft.com/office/drawing/2014/main" id="{00000000-0008-0000-0000-000053010000}"/>
            </a:ext>
          </a:extLst>
        </xdr:cNvPr>
        <xdr:cNvPicPr>
          <a:picLocks noChangeAspect="1"/>
        </xdr:cNvPicPr>
      </xdr:nvPicPr>
      <xdr:blipFill>
        <a:blip xmlns:r="http://schemas.openxmlformats.org/officeDocument/2006/relationships" r:embed="rId187"/>
        <a:stretch>
          <a:fillRect/>
        </a:stretch>
      </xdr:blipFill>
      <xdr:spPr>
        <a:xfrm>
          <a:off x="21325113" y="22206857"/>
          <a:ext cx="4405739" cy="1850572"/>
        </a:xfrm>
        <a:prstGeom prst="rect">
          <a:avLst/>
        </a:prstGeom>
      </xdr:spPr>
    </xdr:pic>
    <xdr:clientData/>
  </xdr:twoCellAnchor>
  <xdr:twoCellAnchor editAs="oneCell">
    <xdr:from>
      <xdr:col>20</xdr:col>
      <xdr:colOff>0</xdr:colOff>
      <xdr:row>132</xdr:row>
      <xdr:rowOff>0</xdr:rowOff>
    </xdr:from>
    <xdr:to>
      <xdr:col>34</xdr:col>
      <xdr:colOff>174944</xdr:colOff>
      <xdr:row>148</xdr:row>
      <xdr:rowOff>178798</xdr:rowOff>
    </xdr:to>
    <xdr:pic>
      <xdr:nvPicPr>
        <xdr:cNvPr id="340" name="Picture 339">
          <a:extLst>
            <a:ext uri="{FF2B5EF4-FFF2-40B4-BE49-F238E27FC236}">
              <a16:creationId xmlns:a16="http://schemas.microsoft.com/office/drawing/2014/main" id="{00000000-0008-0000-0000-000054010000}"/>
            </a:ext>
          </a:extLst>
        </xdr:cNvPr>
        <xdr:cNvPicPr>
          <a:picLocks noChangeAspect="1"/>
        </xdr:cNvPicPr>
      </xdr:nvPicPr>
      <xdr:blipFill>
        <a:blip xmlns:r="http://schemas.openxmlformats.org/officeDocument/2006/relationships" r:embed="rId188"/>
        <a:stretch>
          <a:fillRect/>
        </a:stretch>
      </xdr:blipFill>
      <xdr:spPr>
        <a:xfrm>
          <a:off x="18625457" y="24427543"/>
          <a:ext cx="8916173" cy="3139712"/>
        </a:xfrm>
        <a:prstGeom prst="rect">
          <a:avLst/>
        </a:prstGeom>
      </xdr:spPr>
    </xdr:pic>
    <xdr:clientData/>
  </xdr:twoCellAnchor>
  <xdr:twoCellAnchor editAs="oneCell">
    <xdr:from>
      <xdr:col>20</xdr:col>
      <xdr:colOff>0</xdr:colOff>
      <xdr:row>150</xdr:row>
      <xdr:rowOff>0</xdr:rowOff>
    </xdr:from>
    <xdr:to>
      <xdr:col>32</xdr:col>
      <xdr:colOff>522117</xdr:colOff>
      <xdr:row>164</xdr:row>
      <xdr:rowOff>175500</xdr:rowOff>
    </xdr:to>
    <xdr:pic>
      <xdr:nvPicPr>
        <xdr:cNvPr id="341" name="Picture 340">
          <a:extLst>
            <a:ext uri="{FF2B5EF4-FFF2-40B4-BE49-F238E27FC236}">
              <a16:creationId xmlns:a16="http://schemas.microsoft.com/office/drawing/2014/main" id="{00000000-0008-0000-0000-000055010000}"/>
            </a:ext>
          </a:extLst>
        </xdr:cNvPr>
        <xdr:cNvPicPr>
          <a:picLocks noChangeAspect="1"/>
        </xdr:cNvPicPr>
      </xdr:nvPicPr>
      <xdr:blipFill>
        <a:blip xmlns:r="http://schemas.openxmlformats.org/officeDocument/2006/relationships" r:embed="rId189"/>
        <a:stretch>
          <a:fillRect/>
        </a:stretch>
      </xdr:blipFill>
      <xdr:spPr>
        <a:xfrm>
          <a:off x="18625457" y="27758571"/>
          <a:ext cx="7978831" cy="2766300"/>
        </a:xfrm>
        <a:prstGeom prst="rect">
          <a:avLst/>
        </a:prstGeom>
      </xdr:spPr>
    </xdr:pic>
    <xdr:clientData/>
  </xdr:twoCellAnchor>
  <xdr:twoCellAnchor editAs="oneCell">
    <xdr:from>
      <xdr:col>20</xdr:col>
      <xdr:colOff>0</xdr:colOff>
      <xdr:row>165</xdr:row>
      <xdr:rowOff>0</xdr:rowOff>
    </xdr:from>
    <xdr:to>
      <xdr:col>34</xdr:col>
      <xdr:colOff>0</xdr:colOff>
      <xdr:row>188</xdr:row>
      <xdr:rowOff>84217</xdr:rowOff>
    </xdr:to>
    <xdr:pic>
      <xdr:nvPicPr>
        <xdr:cNvPr id="342" name="Picture 341">
          <a:extLst>
            <a:ext uri="{FF2B5EF4-FFF2-40B4-BE49-F238E27FC236}">
              <a16:creationId xmlns:a16="http://schemas.microsoft.com/office/drawing/2014/main" id="{00000000-0008-0000-0000-000056010000}"/>
            </a:ext>
          </a:extLst>
        </xdr:cNvPr>
        <xdr:cNvPicPr>
          <a:picLocks noChangeAspect="1"/>
        </xdr:cNvPicPr>
      </xdr:nvPicPr>
      <xdr:blipFill>
        <a:blip xmlns:r="http://schemas.openxmlformats.org/officeDocument/2006/relationships" r:embed="rId190"/>
        <a:stretch>
          <a:fillRect/>
        </a:stretch>
      </xdr:blipFill>
      <xdr:spPr>
        <a:xfrm>
          <a:off x="18625457" y="30534429"/>
          <a:ext cx="8741229" cy="4340531"/>
        </a:xfrm>
        <a:prstGeom prst="rect">
          <a:avLst/>
        </a:prstGeom>
      </xdr:spPr>
    </xdr:pic>
    <xdr:clientData/>
  </xdr:twoCellAnchor>
  <xdr:twoCellAnchor editAs="oneCell">
    <xdr:from>
      <xdr:col>0</xdr:col>
      <xdr:colOff>0</xdr:colOff>
      <xdr:row>17</xdr:row>
      <xdr:rowOff>31751</xdr:rowOff>
    </xdr:from>
    <xdr:to>
      <xdr:col>2</xdr:col>
      <xdr:colOff>645583</xdr:colOff>
      <xdr:row>19</xdr:row>
      <xdr:rowOff>31751</xdr:rowOff>
    </xdr:to>
    <xdr:pic>
      <xdr:nvPicPr>
        <xdr:cNvPr id="10" name="Picture 9">
          <a:extLst>
            <a:ext uri="{FF2B5EF4-FFF2-40B4-BE49-F238E27FC236}">
              <a16:creationId xmlns:a16="http://schemas.microsoft.com/office/drawing/2014/main" id="{27D48EC8-CC34-469E-9D49-6AEA49B74636}"/>
            </a:ext>
          </a:extLst>
        </xdr:cNvPr>
        <xdr:cNvPicPr>
          <a:picLocks noChangeAspect="1"/>
        </xdr:cNvPicPr>
      </xdr:nvPicPr>
      <xdr:blipFill rotWithShape="1">
        <a:blip xmlns:r="http://schemas.openxmlformats.org/officeDocument/2006/relationships" r:embed="rId191"/>
        <a:srcRect b="10430"/>
        <a:stretch/>
      </xdr:blipFill>
      <xdr:spPr>
        <a:xfrm>
          <a:off x="0" y="3270251"/>
          <a:ext cx="3397250" cy="381000"/>
        </a:xfrm>
        <a:prstGeom prst="rect">
          <a:avLst/>
        </a:prstGeom>
      </xdr:spPr>
    </xdr:pic>
    <xdr:clientData/>
  </xdr:twoCellAnchor>
  <xdr:twoCellAnchor editAs="oneCell">
    <xdr:from>
      <xdr:col>2</xdr:col>
      <xdr:colOff>201082</xdr:colOff>
      <xdr:row>24</xdr:row>
      <xdr:rowOff>42334</xdr:rowOff>
    </xdr:from>
    <xdr:to>
      <xdr:col>8</xdr:col>
      <xdr:colOff>58830</xdr:colOff>
      <xdr:row>26</xdr:row>
      <xdr:rowOff>0</xdr:rowOff>
    </xdr:to>
    <xdr:pic>
      <xdr:nvPicPr>
        <xdr:cNvPr id="11" name="Picture 10">
          <a:extLst>
            <a:ext uri="{FF2B5EF4-FFF2-40B4-BE49-F238E27FC236}">
              <a16:creationId xmlns:a16="http://schemas.microsoft.com/office/drawing/2014/main" id="{30FD1280-C598-A5A5-2018-EFD42A4F6C98}"/>
            </a:ext>
          </a:extLst>
        </xdr:cNvPr>
        <xdr:cNvPicPr>
          <a:picLocks noChangeAspect="1"/>
        </xdr:cNvPicPr>
      </xdr:nvPicPr>
      <xdr:blipFill>
        <a:blip xmlns:r="http://schemas.openxmlformats.org/officeDocument/2006/relationships" r:embed="rId192"/>
        <a:stretch>
          <a:fillRect/>
        </a:stretch>
      </xdr:blipFill>
      <xdr:spPr>
        <a:xfrm>
          <a:off x="2952749" y="4614334"/>
          <a:ext cx="5096498" cy="338666"/>
        </a:xfrm>
        <a:prstGeom prst="rect">
          <a:avLst/>
        </a:prstGeom>
      </xdr:spPr>
    </xdr:pic>
    <xdr:clientData/>
  </xdr:twoCellAnchor>
  <xdr:twoCellAnchor editAs="oneCell">
    <xdr:from>
      <xdr:col>0</xdr:col>
      <xdr:colOff>74083</xdr:colOff>
      <xdr:row>28</xdr:row>
      <xdr:rowOff>105833</xdr:rowOff>
    </xdr:from>
    <xdr:to>
      <xdr:col>0</xdr:col>
      <xdr:colOff>1798349</xdr:colOff>
      <xdr:row>30</xdr:row>
      <xdr:rowOff>110127</xdr:rowOff>
    </xdr:to>
    <xdr:pic>
      <xdr:nvPicPr>
        <xdr:cNvPr id="19" name="Picture 18">
          <a:extLst>
            <a:ext uri="{FF2B5EF4-FFF2-40B4-BE49-F238E27FC236}">
              <a16:creationId xmlns:a16="http://schemas.microsoft.com/office/drawing/2014/main" id="{F75E67FE-2278-B28C-A0B7-B9556C1DEC8D}"/>
            </a:ext>
          </a:extLst>
        </xdr:cNvPr>
        <xdr:cNvPicPr>
          <a:picLocks noChangeAspect="1"/>
        </xdr:cNvPicPr>
      </xdr:nvPicPr>
      <xdr:blipFill rotWithShape="1">
        <a:blip xmlns:r="http://schemas.openxmlformats.org/officeDocument/2006/relationships" r:embed="rId193"/>
        <a:srcRect t="12075"/>
        <a:stretch/>
      </xdr:blipFill>
      <xdr:spPr>
        <a:xfrm>
          <a:off x="74083" y="5439833"/>
          <a:ext cx="1724266" cy="385294"/>
        </a:xfrm>
        <a:prstGeom prst="rect">
          <a:avLst/>
        </a:prstGeom>
      </xdr:spPr>
    </xdr:pic>
    <xdr:clientData/>
  </xdr:twoCellAnchor>
  <xdr:twoCellAnchor editAs="oneCell">
    <xdr:from>
      <xdr:col>0</xdr:col>
      <xdr:colOff>84667</xdr:colOff>
      <xdr:row>40</xdr:row>
      <xdr:rowOff>52917</xdr:rowOff>
    </xdr:from>
    <xdr:to>
      <xdr:col>4</xdr:col>
      <xdr:colOff>1862421</xdr:colOff>
      <xdr:row>41</xdr:row>
      <xdr:rowOff>81523</xdr:rowOff>
    </xdr:to>
    <xdr:pic>
      <xdr:nvPicPr>
        <xdr:cNvPr id="22" name="Picture 21">
          <a:extLst>
            <a:ext uri="{FF2B5EF4-FFF2-40B4-BE49-F238E27FC236}">
              <a16:creationId xmlns:a16="http://schemas.microsoft.com/office/drawing/2014/main" id="{208DB2FF-5CE7-B234-577E-2EFB30E5CE10}"/>
            </a:ext>
          </a:extLst>
        </xdr:cNvPr>
        <xdr:cNvPicPr>
          <a:picLocks noChangeAspect="1"/>
        </xdr:cNvPicPr>
      </xdr:nvPicPr>
      <xdr:blipFill>
        <a:blip xmlns:r="http://schemas.openxmlformats.org/officeDocument/2006/relationships" r:embed="rId194"/>
        <a:stretch>
          <a:fillRect/>
        </a:stretch>
      </xdr:blipFill>
      <xdr:spPr>
        <a:xfrm>
          <a:off x="84667" y="7672917"/>
          <a:ext cx="5820587" cy="219106"/>
        </a:xfrm>
        <a:prstGeom prst="rect">
          <a:avLst/>
        </a:prstGeom>
      </xdr:spPr>
    </xdr:pic>
    <xdr:clientData/>
  </xdr:twoCellAnchor>
  <xdr:twoCellAnchor editAs="oneCell">
    <xdr:from>
      <xdr:col>5</xdr:col>
      <xdr:colOff>31750</xdr:colOff>
      <xdr:row>40</xdr:row>
      <xdr:rowOff>63500</xdr:rowOff>
    </xdr:from>
    <xdr:to>
      <xdr:col>5</xdr:col>
      <xdr:colOff>536645</xdr:colOff>
      <xdr:row>41</xdr:row>
      <xdr:rowOff>63527</xdr:rowOff>
    </xdr:to>
    <xdr:pic>
      <xdr:nvPicPr>
        <xdr:cNvPr id="26" name="Picture 25">
          <a:extLst>
            <a:ext uri="{FF2B5EF4-FFF2-40B4-BE49-F238E27FC236}">
              <a16:creationId xmlns:a16="http://schemas.microsoft.com/office/drawing/2014/main" id="{07C9C177-A485-4851-16CE-73360F62D225}"/>
            </a:ext>
          </a:extLst>
        </xdr:cNvPr>
        <xdr:cNvPicPr>
          <a:picLocks noChangeAspect="1"/>
        </xdr:cNvPicPr>
      </xdr:nvPicPr>
      <xdr:blipFill>
        <a:blip xmlns:r="http://schemas.openxmlformats.org/officeDocument/2006/relationships" r:embed="rId195"/>
        <a:stretch>
          <a:fillRect/>
        </a:stretch>
      </xdr:blipFill>
      <xdr:spPr>
        <a:xfrm>
          <a:off x="5947833" y="7683500"/>
          <a:ext cx="504895" cy="190527"/>
        </a:xfrm>
        <a:prstGeom prst="rect">
          <a:avLst/>
        </a:prstGeom>
      </xdr:spPr>
    </xdr:pic>
    <xdr:clientData/>
  </xdr:twoCellAnchor>
  <xdr:twoCellAnchor editAs="oneCell">
    <xdr:from>
      <xdr:col>0</xdr:col>
      <xdr:colOff>63500</xdr:colOff>
      <xdr:row>43</xdr:row>
      <xdr:rowOff>52916</xdr:rowOff>
    </xdr:from>
    <xdr:to>
      <xdr:col>0</xdr:col>
      <xdr:colOff>1900539</xdr:colOff>
      <xdr:row>45</xdr:row>
      <xdr:rowOff>94866</xdr:rowOff>
    </xdr:to>
    <xdr:pic>
      <xdr:nvPicPr>
        <xdr:cNvPr id="28" name="Picture 27">
          <a:extLst>
            <a:ext uri="{FF2B5EF4-FFF2-40B4-BE49-F238E27FC236}">
              <a16:creationId xmlns:a16="http://schemas.microsoft.com/office/drawing/2014/main" id="{565F2D92-2206-FF62-AF7F-19BE1EDB4385}"/>
            </a:ext>
          </a:extLst>
        </xdr:cNvPr>
        <xdr:cNvPicPr>
          <a:picLocks noChangeAspect="1"/>
        </xdr:cNvPicPr>
      </xdr:nvPicPr>
      <xdr:blipFill>
        <a:blip xmlns:r="http://schemas.openxmlformats.org/officeDocument/2006/relationships" r:embed="rId196"/>
        <a:stretch>
          <a:fillRect/>
        </a:stretch>
      </xdr:blipFill>
      <xdr:spPr>
        <a:xfrm>
          <a:off x="63500" y="8244416"/>
          <a:ext cx="1705213" cy="285790"/>
        </a:xfrm>
        <a:prstGeom prst="rect">
          <a:avLst/>
        </a:prstGeom>
      </xdr:spPr>
    </xdr:pic>
    <xdr:clientData/>
  </xdr:twoCellAnchor>
  <xdr:twoCellAnchor editAs="oneCell">
    <xdr:from>
      <xdr:col>0</xdr:col>
      <xdr:colOff>0</xdr:colOff>
      <xdr:row>47</xdr:row>
      <xdr:rowOff>42333</xdr:rowOff>
    </xdr:from>
    <xdr:to>
      <xdr:col>0</xdr:col>
      <xdr:colOff>1829055</xdr:colOff>
      <xdr:row>48</xdr:row>
      <xdr:rowOff>61412</xdr:rowOff>
    </xdr:to>
    <xdr:pic>
      <xdr:nvPicPr>
        <xdr:cNvPr id="45" name="Picture 44">
          <a:extLst>
            <a:ext uri="{FF2B5EF4-FFF2-40B4-BE49-F238E27FC236}">
              <a16:creationId xmlns:a16="http://schemas.microsoft.com/office/drawing/2014/main" id="{5A7243C9-F3B7-66CA-E580-453D358E8329}"/>
            </a:ext>
          </a:extLst>
        </xdr:cNvPr>
        <xdr:cNvPicPr>
          <a:picLocks noChangeAspect="1"/>
        </xdr:cNvPicPr>
      </xdr:nvPicPr>
      <xdr:blipFill>
        <a:blip xmlns:r="http://schemas.openxmlformats.org/officeDocument/2006/relationships" r:embed="rId197"/>
        <a:stretch>
          <a:fillRect/>
        </a:stretch>
      </xdr:blipFill>
      <xdr:spPr>
        <a:xfrm>
          <a:off x="0" y="8995833"/>
          <a:ext cx="1829055" cy="209579"/>
        </a:xfrm>
        <a:prstGeom prst="rect">
          <a:avLst/>
        </a:prstGeom>
      </xdr:spPr>
    </xdr:pic>
    <xdr:clientData/>
  </xdr:twoCellAnchor>
  <xdr:twoCellAnchor editAs="oneCell">
    <xdr:from>
      <xdr:col>0</xdr:col>
      <xdr:colOff>1</xdr:colOff>
      <xdr:row>48</xdr:row>
      <xdr:rowOff>74083</xdr:rowOff>
    </xdr:from>
    <xdr:to>
      <xdr:col>0</xdr:col>
      <xdr:colOff>1873251</xdr:colOff>
      <xdr:row>49</xdr:row>
      <xdr:rowOff>113148</xdr:rowOff>
    </xdr:to>
    <xdr:pic>
      <xdr:nvPicPr>
        <xdr:cNvPr id="79" name="Picture 78">
          <a:extLst>
            <a:ext uri="{FF2B5EF4-FFF2-40B4-BE49-F238E27FC236}">
              <a16:creationId xmlns:a16="http://schemas.microsoft.com/office/drawing/2014/main" id="{4EC7E68A-8C22-924F-110A-BBAFCEF6F2A0}"/>
            </a:ext>
          </a:extLst>
        </xdr:cNvPr>
        <xdr:cNvPicPr>
          <a:picLocks noChangeAspect="1"/>
        </xdr:cNvPicPr>
      </xdr:nvPicPr>
      <xdr:blipFill>
        <a:blip xmlns:r="http://schemas.openxmlformats.org/officeDocument/2006/relationships" r:embed="rId198"/>
        <a:stretch>
          <a:fillRect/>
        </a:stretch>
      </xdr:blipFill>
      <xdr:spPr>
        <a:xfrm>
          <a:off x="1" y="9218083"/>
          <a:ext cx="1873250" cy="229565"/>
        </a:xfrm>
        <a:prstGeom prst="rect">
          <a:avLst/>
        </a:prstGeom>
      </xdr:spPr>
    </xdr:pic>
    <xdr:clientData/>
  </xdr:twoCellAnchor>
  <xdr:twoCellAnchor editAs="oneCell">
    <xdr:from>
      <xdr:col>4</xdr:col>
      <xdr:colOff>10583</xdr:colOff>
      <xdr:row>47</xdr:row>
      <xdr:rowOff>63502</xdr:rowOff>
    </xdr:from>
    <xdr:to>
      <xdr:col>9</xdr:col>
      <xdr:colOff>190500</xdr:colOff>
      <xdr:row>48</xdr:row>
      <xdr:rowOff>152938</xdr:rowOff>
    </xdr:to>
    <xdr:pic>
      <xdr:nvPicPr>
        <xdr:cNvPr id="83" name="Picture 82">
          <a:extLst>
            <a:ext uri="{FF2B5EF4-FFF2-40B4-BE49-F238E27FC236}">
              <a16:creationId xmlns:a16="http://schemas.microsoft.com/office/drawing/2014/main" id="{F6E1EC37-524C-9C64-F7AE-D01C6B0603F9}"/>
            </a:ext>
          </a:extLst>
        </xdr:cNvPr>
        <xdr:cNvPicPr>
          <a:picLocks noChangeAspect="1"/>
        </xdr:cNvPicPr>
      </xdr:nvPicPr>
      <xdr:blipFill>
        <a:blip xmlns:r="http://schemas.openxmlformats.org/officeDocument/2006/relationships" r:embed="rId199"/>
        <a:stretch>
          <a:fillRect/>
        </a:stretch>
      </xdr:blipFill>
      <xdr:spPr>
        <a:xfrm>
          <a:off x="4053416" y="9017002"/>
          <a:ext cx="4751917" cy="279936"/>
        </a:xfrm>
        <a:prstGeom prst="rect">
          <a:avLst/>
        </a:prstGeom>
      </xdr:spPr>
    </xdr:pic>
    <xdr:clientData/>
  </xdr:twoCellAnchor>
  <xdr:twoCellAnchor editAs="oneCell">
    <xdr:from>
      <xdr:col>0</xdr:col>
      <xdr:colOff>0</xdr:colOff>
      <xdr:row>53</xdr:row>
      <xdr:rowOff>95249</xdr:rowOff>
    </xdr:from>
    <xdr:to>
      <xdr:col>3</xdr:col>
      <xdr:colOff>387508</xdr:colOff>
      <xdr:row>55</xdr:row>
      <xdr:rowOff>95248</xdr:rowOff>
    </xdr:to>
    <xdr:pic>
      <xdr:nvPicPr>
        <xdr:cNvPr id="86" name="Picture 85">
          <a:extLst>
            <a:ext uri="{FF2B5EF4-FFF2-40B4-BE49-F238E27FC236}">
              <a16:creationId xmlns:a16="http://schemas.microsoft.com/office/drawing/2014/main" id="{EAF86D6A-D9E7-4909-4CCA-29D8D946B5FF}"/>
            </a:ext>
          </a:extLst>
        </xdr:cNvPr>
        <xdr:cNvPicPr>
          <a:picLocks noChangeAspect="1"/>
        </xdr:cNvPicPr>
      </xdr:nvPicPr>
      <xdr:blipFill>
        <a:blip xmlns:r="http://schemas.openxmlformats.org/officeDocument/2006/relationships" r:embed="rId200"/>
        <a:stretch>
          <a:fillRect/>
        </a:stretch>
      </xdr:blipFill>
      <xdr:spPr>
        <a:xfrm>
          <a:off x="0" y="10191749"/>
          <a:ext cx="3795341" cy="380999"/>
        </a:xfrm>
        <a:prstGeom prst="rect">
          <a:avLst/>
        </a:prstGeom>
      </xdr:spPr>
    </xdr:pic>
    <xdr:clientData/>
  </xdr:twoCellAnchor>
  <xdr:twoCellAnchor editAs="oneCell">
    <xdr:from>
      <xdr:col>0</xdr:col>
      <xdr:colOff>0</xdr:colOff>
      <xdr:row>57</xdr:row>
      <xdr:rowOff>42333</xdr:rowOff>
    </xdr:from>
    <xdr:to>
      <xdr:col>2</xdr:col>
      <xdr:colOff>486832</xdr:colOff>
      <xdr:row>58</xdr:row>
      <xdr:rowOff>137583</xdr:rowOff>
    </xdr:to>
    <xdr:pic>
      <xdr:nvPicPr>
        <xdr:cNvPr id="89" name="Picture 88">
          <a:extLst>
            <a:ext uri="{FF2B5EF4-FFF2-40B4-BE49-F238E27FC236}">
              <a16:creationId xmlns:a16="http://schemas.microsoft.com/office/drawing/2014/main" id="{307CC720-4433-4185-5D40-3B38CFF37231}"/>
            </a:ext>
          </a:extLst>
        </xdr:cNvPr>
        <xdr:cNvPicPr>
          <a:picLocks noChangeAspect="1"/>
        </xdr:cNvPicPr>
      </xdr:nvPicPr>
      <xdr:blipFill rotWithShape="1">
        <a:blip xmlns:r="http://schemas.openxmlformats.org/officeDocument/2006/relationships" r:embed="rId201"/>
        <a:srcRect t="12974" b="16964"/>
        <a:stretch/>
      </xdr:blipFill>
      <xdr:spPr>
        <a:xfrm>
          <a:off x="0" y="10900833"/>
          <a:ext cx="3238499" cy="285750"/>
        </a:xfrm>
        <a:prstGeom prst="rect">
          <a:avLst/>
        </a:prstGeom>
      </xdr:spPr>
    </xdr:pic>
    <xdr:clientData/>
  </xdr:twoCellAnchor>
  <xdr:twoCellAnchor editAs="oneCell">
    <xdr:from>
      <xdr:col>2</xdr:col>
      <xdr:colOff>31749</xdr:colOff>
      <xdr:row>60</xdr:row>
      <xdr:rowOff>52916</xdr:rowOff>
    </xdr:from>
    <xdr:to>
      <xdr:col>7</xdr:col>
      <xdr:colOff>719666</xdr:colOff>
      <xdr:row>62</xdr:row>
      <xdr:rowOff>3476</xdr:rowOff>
    </xdr:to>
    <xdr:pic>
      <xdr:nvPicPr>
        <xdr:cNvPr id="118" name="Picture 117">
          <a:extLst>
            <a:ext uri="{FF2B5EF4-FFF2-40B4-BE49-F238E27FC236}">
              <a16:creationId xmlns:a16="http://schemas.microsoft.com/office/drawing/2014/main" id="{CE6D95AC-0053-35EA-B314-9C424B026D72}"/>
            </a:ext>
          </a:extLst>
        </xdr:cNvPr>
        <xdr:cNvPicPr>
          <a:picLocks noChangeAspect="1"/>
        </xdr:cNvPicPr>
      </xdr:nvPicPr>
      <xdr:blipFill>
        <a:blip xmlns:r="http://schemas.openxmlformats.org/officeDocument/2006/relationships" r:embed="rId202"/>
        <a:stretch>
          <a:fillRect/>
        </a:stretch>
      </xdr:blipFill>
      <xdr:spPr>
        <a:xfrm>
          <a:off x="2783416" y="11482916"/>
          <a:ext cx="5207000" cy="331560"/>
        </a:xfrm>
        <a:prstGeom prst="rect">
          <a:avLst/>
        </a:prstGeom>
      </xdr:spPr>
    </xdr:pic>
    <xdr:clientData/>
  </xdr:twoCellAnchor>
  <xdr:twoCellAnchor editAs="oneCell">
    <xdr:from>
      <xdr:col>0</xdr:col>
      <xdr:colOff>137583</xdr:colOff>
      <xdr:row>60</xdr:row>
      <xdr:rowOff>21166</xdr:rowOff>
    </xdr:from>
    <xdr:to>
      <xdr:col>0</xdr:col>
      <xdr:colOff>1841501</xdr:colOff>
      <xdr:row>62</xdr:row>
      <xdr:rowOff>60415</xdr:rowOff>
    </xdr:to>
    <xdr:pic>
      <xdr:nvPicPr>
        <xdr:cNvPr id="163" name="Picture 162">
          <a:extLst>
            <a:ext uri="{FF2B5EF4-FFF2-40B4-BE49-F238E27FC236}">
              <a16:creationId xmlns:a16="http://schemas.microsoft.com/office/drawing/2014/main" id="{1178342F-079A-EEDA-0C81-371853C9733F}"/>
            </a:ext>
          </a:extLst>
        </xdr:cNvPr>
        <xdr:cNvPicPr>
          <a:picLocks noChangeAspect="1"/>
        </xdr:cNvPicPr>
      </xdr:nvPicPr>
      <xdr:blipFill>
        <a:blip xmlns:r="http://schemas.openxmlformats.org/officeDocument/2006/relationships" r:embed="rId203"/>
        <a:stretch>
          <a:fillRect/>
        </a:stretch>
      </xdr:blipFill>
      <xdr:spPr>
        <a:xfrm>
          <a:off x="137583" y="11451166"/>
          <a:ext cx="1703918" cy="420249"/>
        </a:xfrm>
        <a:prstGeom prst="rect">
          <a:avLst/>
        </a:prstGeom>
      </xdr:spPr>
    </xdr:pic>
    <xdr:clientData/>
  </xdr:twoCellAnchor>
  <xdr:twoCellAnchor editAs="oneCell">
    <xdr:from>
      <xdr:col>0</xdr:col>
      <xdr:colOff>0</xdr:colOff>
      <xdr:row>63</xdr:row>
      <xdr:rowOff>169333</xdr:rowOff>
    </xdr:from>
    <xdr:to>
      <xdr:col>0</xdr:col>
      <xdr:colOff>1229703</xdr:colOff>
      <xdr:row>66</xdr:row>
      <xdr:rowOff>0</xdr:rowOff>
    </xdr:to>
    <xdr:pic>
      <xdr:nvPicPr>
        <xdr:cNvPr id="166" name="Picture 165">
          <a:extLst>
            <a:ext uri="{FF2B5EF4-FFF2-40B4-BE49-F238E27FC236}">
              <a16:creationId xmlns:a16="http://schemas.microsoft.com/office/drawing/2014/main" id="{FD1112E7-B328-C875-5484-CEFA308E7427}"/>
            </a:ext>
          </a:extLst>
        </xdr:cNvPr>
        <xdr:cNvPicPr>
          <a:picLocks noChangeAspect="1"/>
        </xdr:cNvPicPr>
      </xdr:nvPicPr>
      <xdr:blipFill>
        <a:blip xmlns:r="http://schemas.openxmlformats.org/officeDocument/2006/relationships" r:embed="rId204"/>
        <a:stretch>
          <a:fillRect/>
        </a:stretch>
      </xdr:blipFill>
      <xdr:spPr>
        <a:xfrm>
          <a:off x="0" y="12170833"/>
          <a:ext cx="1229703" cy="402167"/>
        </a:xfrm>
        <a:prstGeom prst="rect">
          <a:avLst/>
        </a:prstGeom>
      </xdr:spPr>
    </xdr:pic>
    <xdr:clientData/>
  </xdr:twoCellAnchor>
  <xdr:twoCellAnchor editAs="oneCell">
    <xdr:from>
      <xdr:col>6</xdr:col>
      <xdr:colOff>152400</xdr:colOff>
      <xdr:row>67</xdr:row>
      <xdr:rowOff>67733</xdr:rowOff>
    </xdr:from>
    <xdr:to>
      <xdr:col>7</xdr:col>
      <xdr:colOff>683603</xdr:colOff>
      <xdr:row>69</xdr:row>
      <xdr:rowOff>88900</xdr:rowOff>
    </xdr:to>
    <xdr:pic>
      <xdr:nvPicPr>
        <xdr:cNvPr id="170" name="Picture 169">
          <a:extLst>
            <a:ext uri="{FF2B5EF4-FFF2-40B4-BE49-F238E27FC236}">
              <a16:creationId xmlns:a16="http://schemas.microsoft.com/office/drawing/2014/main" id="{A04197FF-9EC6-4964-B0A6-8C47E6834892}"/>
            </a:ext>
          </a:extLst>
        </xdr:cNvPr>
        <xdr:cNvPicPr>
          <a:picLocks noChangeAspect="1"/>
        </xdr:cNvPicPr>
      </xdr:nvPicPr>
      <xdr:blipFill>
        <a:blip xmlns:r="http://schemas.openxmlformats.org/officeDocument/2006/relationships" r:embed="rId204"/>
        <a:stretch>
          <a:fillRect/>
        </a:stretch>
      </xdr:blipFill>
      <xdr:spPr>
        <a:xfrm>
          <a:off x="6724650" y="12831233"/>
          <a:ext cx="1229703" cy="402167"/>
        </a:xfrm>
        <a:prstGeom prst="rect">
          <a:avLst/>
        </a:prstGeom>
      </xdr:spPr>
    </xdr:pic>
    <xdr:clientData/>
  </xdr:twoCellAnchor>
  <xdr:twoCellAnchor editAs="oneCell">
    <xdr:from>
      <xdr:col>0</xdr:col>
      <xdr:colOff>0</xdr:colOff>
      <xdr:row>75</xdr:row>
      <xdr:rowOff>148167</xdr:rowOff>
    </xdr:from>
    <xdr:to>
      <xdr:col>4</xdr:col>
      <xdr:colOff>1777754</xdr:colOff>
      <xdr:row>76</xdr:row>
      <xdr:rowOff>176773</xdr:rowOff>
    </xdr:to>
    <xdr:pic>
      <xdr:nvPicPr>
        <xdr:cNvPr id="174" name="Picture 173">
          <a:extLst>
            <a:ext uri="{FF2B5EF4-FFF2-40B4-BE49-F238E27FC236}">
              <a16:creationId xmlns:a16="http://schemas.microsoft.com/office/drawing/2014/main" id="{2A99E314-3997-4DD8-8967-53F232EEC7C5}"/>
            </a:ext>
          </a:extLst>
        </xdr:cNvPr>
        <xdr:cNvPicPr>
          <a:picLocks noChangeAspect="1"/>
        </xdr:cNvPicPr>
      </xdr:nvPicPr>
      <xdr:blipFill>
        <a:blip xmlns:r="http://schemas.openxmlformats.org/officeDocument/2006/relationships" r:embed="rId194"/>
        <a:stretch>
          <a:fillRect/>
        </a:stretch>
      </xdr:blipFill>
      <xdr:spPr>
        <a:xfrm>
          <a:off x="0" y="14435667"/>
          <a:ext cx="5820587" cy="219106"/>
        </a:xfrm>
        <a:prstGeom prst="rect">
          <a:avLst/>
        </a:prstGeom>
      </xdr:spPr>
    </xdr:pic>
    <xdr:clientData/>
  </xdr:twoCellAnchor>
  <xdr:twoCellAnchor editAs="oneCell">
    <xdr:from>
      <xdr:col>5</xdr:col>
      <xdr:colOff>0</xdr:colOff>
      <xdr:row>76</xdr:row>
      <xdr:rowOff>0</xdr:rowOff>
    </xdr:from>
    <xdr:to>
      <xdr:col>5</xdr:col>
      <xdr:colOff>504895</xdr:colOff>
      <xdr:row>77</xdr:row>
      <xdr:rowOff>27</xdr:rowOff>
    </xdr:to>
    <xdr:pic>
      <xdr:nvPicPr>
        <xdr:cNvPr id="177" name="Picture 176">
          <a:extLst>
            <a:ext uri="{FF2B5EF4-FFF2-40B4-BE49-F238E27FC236}">
              <a16:creationId xmlns:a16="http://schemas.microsoft.com/office/drawing/2014/main" id="{837787FD-A0BA-456E-AEB1-9C11C025F5EE}"/>
            </a:ext>
          </a:extLst>
        </xdr:cNvPr>
        <xdr:cNvPicPr>
          <a:picLocks noChangeAspect="1"/>
        </xdr:cNvPicPr>
      </xdr:nvPicPr>
      <xdr:blipFill>
        <a:blip xmlns:r="http://schemas.openxmlformats.org/officeDocument/2006/relationships" r:embed="rId195"/>
        <a:stretch>
          <a:fillRect/>
        </a:stretch>
      </xdr:blipFill>
      <xdr:spPr>
        <a:xfrm>
          <a:off x="5916083" y="14478000"/>
          <a:ext cx="504895" cy="190527"/>
        </a:xfrm>
        <a:prstGeom prst="rect">
          <a:avLst/>
        </a:prstGeom>
      </xdr:spPr>
    </xdr:pic>
    <xdr:clientData/>
  </xdr:twoCellAnchor>
  <xdr:twoCellAnchor editAs="oneCell">
    <xdr:from>
      <xdr:col>0</xdr:col>
      <xdr:colOff>169333</xdr:colOff>
      <xdr:row>78</xdr:row>
      <xdr:rowOff>137583</xdr:rowOff>
    </xdr:from>
    <xdr:to>
      <xdr:col>0</xdr:col>
      <xdr:colOff>1874546</xdr:colOff>
      <xdr:row>80</xdr:row>
      <xdr:rowOff>42373</xdr:rowOff>
    </xdr:to>
    <xdr:pic>
      <xdr:nvPicPr>
        <xdr:cNvPr id="178" name="Picture 177">
          <a:extLst>
            <a:ext uri="{FF2B5EF4-FFF2-40B4-BE49-F238E27FC236}">
              <a16:creationId xmlns:a16="http://schemas.microsoft.com/office/drawing/2014/main" id="{83545C90-32AC-488E-A5A5-B10F7D3F5DDB}"/>
            </a:ext>
          </a:extLst>
        </xdr:cNvPr>
        <xdr:cNvPicPr>
          <a:picLocks noChangeAspect="1"/>
        </xdr:cNvPicPr>
      </xdr:nvPicPr>
      <xdr:blipFill>
        <a:blip xmlns:r="http://schemas.openxmlformats.org/officeDocument/2006/relationships" r:embed="rId196"/>
        <a:stretch>
          <a:fillRect/>
        </a:stretch>
      </xdr:blipFill>
      <xdr:spPr>
        <a:xfrm>
          <a:off x="169333" y="14996583"/>
          <a:ext cx="1705213" cy="285790"/>
        </a:xfrm>
        <a:prstGeom prst="rect">
          <a:avLst/>
        </a:prstGeom>
      </xdr:spPr>
    </xdr:pic>
    <xdr:clientData/>
  </xdr:twoCellAnchor>
  <xdr:twoCellAnchor editAs="oneCell">
    <xdr:from>
      <xdr:col>0</xdr:col>
      <xdr:colOff>21168</xdr:colOff>
      <xdr:row>87</xdr:row>
      <xdr:rowOff>49893</xdr:rowOff>
    </xdr:from>
    <xdr:to>
      <xdr:col>0</xdr:col>
      <xdr:colOff>1412012</xdr:colOff>
      <xdr:row>88</xdr:row>
      <xdr:rowOff>97551</xdr:rowOff>
    </xdr:to>
    <xdr:pic>
      <xdr:nvPicPr>
        <xdr:cNvPr id="179" name="Picture 178">
          <a:extLst>
            <a:ext uri="{FF2B5EF4-FFF2-40B4-BE49-F238E27FC236}">
              <a16:creationId xmlns:a16="http://schemas.microsoft.com/office/drawing/2014/main" id="{8EAB9700-A68F-6193-BCCE-E9B06A247D6A}"/>
            </a:ext>
          </a:extLst>
        </xdr:cNvPr>
        <xdr:cNvPicPr>
          <a:picLocks noChangeAspect="1"/>
        </xdr:cNvPicPr>
      </xdr:nvPicPr>
      <xdr:blipFill>
        <a:blip xmlns:r="http://schemas.openxmlformats.org/officeDocument/2006/relationships" r:embed="rId205"/>
        <a:stretch>
          <a:fillRect/>
        </a:stretch>
      </xdr:blipFill>
      <xdr:spPr>
        <a:xfrm>
          <a:off x="21168" y="16623393"/>
          <a:ext cx="1390844" cy="238158"/>
        </a:xfrm>
        <a:prstGeom prst="rect">
          <a:avLst/>
        </a:prstGeom>
      </xdr:spPr>
    </xdr:pic>
    <xdr:clientData/>
  </xdr:twoCellAnchor>
  <xdr:twoCellAnchor editAs="oneCell">
    <xdr:from>
      <xdr:col>0</xdr:col>
      <xdr:colOff>0</xdr:colOff>
      <xdr:row>90</xdr:row>
      <xdr:rowOff>148168</xdr:rowOff>
    </xdr:from>
    <xdr:to>
      <xdr:col>0</xdr:col>
      <xdr:colOff>2087563</xdr:colOff>
      <xdr:row>92</xdr:row>
      <xdr:rowOff>179918</xdr:rowOff>
    </xdr:to>
    <xdr:pic>
      <xdr:nvPicPr>
        <xdr:cNvPr id="211" name="Picture 210">
          <a:extLst>
            <a:ext uri="{FF2B5EF4-FFF2-40B4-BE49-F238E27FC236}">
              <a16:creationId xmlns:a16="http://schemas.microsoft.com/office/drawing/2014/main" id="{8C8161BC-BE45-C89A-10C9-5ED01B41B610}"/>
            </a:ext>
          </a:extLst>
        </xdr:cNvPr>
        <xdr:cNvPicPr>
          <a:picLocks noChangeAspect="1"/>
        </xdr:cNvPicPr>
      </xdr:nvPicPr>
      <xdr:blipFill>
        <a:blip xmlns:r="http://schemas.openxmlformats.org/officeDocument/2006/relationships" r:embed="rId206"/>
        <a:stretch>
          <a:fillRect/>
        </a:stretch>
      </xdr:blipFill>
      <xdr:spPr>
        <a:xfrm>
          <a:off x="0" y="17293168"/>
          <a:ext cx="2087563" cy="412750"/>
        </a:xfrm>
        <a:prstGeom prst="rect">
          <a:avLst/>
        </a:prstGeom>
      </xdr:spPr>
    </xdr:pic>
    <xdr:clientData/>
  </xdr:twoCellAnchor>
  <xdr:twoCellAnchor editAs="oneCell">
    <xdr:from>
      <xdr:col>1</xdr:col>
      <xdr:colOff>444501</xdr:colOff>
      <xdr:row>90</xdr:row>
      <xdr:rowOff>179916</xdr:rowOff>
    </xdr:from>
    <xdr:to>
      <xdr:col>4</xdr:col>
      <xdr:colOff>21381</xdr:colOff>
      <xdr:row>92</xdr:row>
      <xdr:rowOff>56127</xdr:rowOff>
    </xdr:to>
    <xdr:pic>
      <xdr:nvPicPr>
        <xdr:cNvPr id="212" name="Picture 211">
          <a:extLst>
            <a:ext uri="{FF2B5EF4-FFF2-40B4-BE49-F238E27FC236}">
              <a16:creationId xmlns:a16="http://schemas.microsoft.com/office/drawing/2014/main" id="{2A35ED99-2325-EB77-44A3-AA2A436A594C}"/>
            </a:ext>
          </a:extLst>
        </xdr:cNvPr>
        <xdr:cNvPicPr>
          <a:picLocks noChangeAspect="1"/>
        </xdr:cNvPicPr>
      </xdr:nvPicPr>
      <xdr:blipFill>
        <a:blip xmlns:r="http://schemas.openxmlformats.org/officeDocument/2006/relationships" r:embed="rId207"/>
        <a:stretch>
          <a:fillRect/>
        </a:stretch>
      </xdr:blipFill>
      <xdr:spPr>
        <a:xfrm>
          <a:off x="2540001" y="17324916"/>
          <a:ext cx="1524213" cy="257211"/>
        </a:xfrm>
        <a:prstGeom prst="rect">
          <a:avLst/>
        </a:prstGeom>
      </xdr:spPr>
    </xdr:pic>
    <xdr:clientData/>
  </xdr:twoCellAnchor>
  <xdr:twoCellAnchor editAs="oneCell">
    <xdr:from>
      <xdr:col>0</xdr:col>
      <xdr:colOff>52917</xdr:colOff>
      <xdr:row>94</xdr:row>
      <xdr:rowOff>169334</xdr:rowOff>
    </xdr:from>
    <xdr:to>
      <xdr:col>4</xdr:col>
      <xdr:colOff>868512</xdr:colOff>
      <xdr:row>98</xdr:row>
      <xdr:rowOff>17019</xdr:rowOff>
    </xdr:to>
    <xdr:pic>
      <xdr:nvPicPr>
        <xdr:cNvPr id="213" name="Picture 212">
          <a:extLst>
            <a:ext uri="{FF2B5EF4-FFF2-40B4-BE49-F238E27FC236}">
              <a16:creationId xmlns:a16="http://schemas.microsoft.com/office/drawing/2014/main" id="{5BAB602E-1096-1325-4C93-1397516C0DB8}"/>
            </a:ext>
          </a:extLst>
        </xdr:cNvPr>
        <xdr:cNvPicPr>
          <a:picLocks noChangeAspect="1"/>
        </xdr:cNvPicPr>
      </xdr:nvPicPr>
      <xdr:blipFill>
        <a:blip xmlns:r="http://schemas.openxmlformats.org/officeDocument/2006/relationships" r:embed="rId208"/>
        <a:stretch>
          <a:fillRect/>
        </a:stretch>
      </xdr:blipFill>
      <xdr:spPr>
        <a:xfrm>
          <a:off x="52917" y="18076334"/>
          <a:ext cx="4858428" cy="609685"/>
        </a:xfrm>
        <a:prstGeom prst="rect">
          <a:avLst/>
        </a:prstGeom>
      </xdr:spPr>
    </xdr:pic>
    <xdr:clientData/>
  </xdr:twoCellAnchor>
  <xdr:twoCellAnchor editAs="oneCell">
    <xdr:from>
      <xdr:col>1</xdr:col>
      <xdr:colOff>486834</xdr:colOff>
      <xdr:row>101</xdr:row>
      <xdr:rowOff>10583</xdr:rowOff>
    </xdr:from>
    <xdr:to>
      <xdr:col>4</xdr:col>
      <xdr:colOff>914453</xdr:colOff>
      <xdr:row>102</xdr:row>
      <xdr:rowOff>127000</xdr:rowOff>
    </xdr:to>
    <xdr:pic>
      <xdr:nvPicPr>
        <xdr:cNvPr id="228" name="Picture 227">
          <a:extLst>
            <a:ext uri="{FF2B5EF4-FFF2-40B4-BE49-F238E27FC236}">
              <a16:creationId xmlns:a16="http://schemas.microsoft.com/office/drawing/2014/main" id="{4B999628-7E0B-469E-B021-A301205D0BD7}"/>
            </a:ext>
          </a:extLst>
        </xdr:cNvPr>
        <xdr:cNvPicPr>
          <a:picLocks noChangeAspect="1"/>
        </xdr:cNvPicPr>
      </xdr:nvPicPr>
      <xdr:blipFill>
        <a:blip xmlns:r="http://schemas.openxmlformats.org/officeDocument/2006/relationships" r:embed="rId209"/>
        <a:stretch>
          <a:fillRect/>
        </a:stretch>
      </xdr:blipFill>
      <xdr:spPr>
        <a:xfrm>
          <a:off x="2582334" y="19251083"/>
          <a:ext cx="2374952" cy="306917"/>
        </a:xfrm>
        <a:prstGeom prst="rect">
          <a:avLst/>
        </a:prstGeom>
      </xdr:spPr>
    </xdr:pic>
    <xdr:clientData/>
  </xdr:twoCellAnchor>
  <xdr:twoCellAnchor editAs="oneCell">
    <xdr:from>
      <xdr:col>4</xdr:col>
      <xdr:colOff>1121835</xdr:colOff>
      <xdr:row>101</xdr:row>
      <xdr:rowOff>21167</xdr:rowOff>
    </xdr:from>
    <xdr:to>
      <xdr:col>6</xdr:col>
      <xdr:colOff>666752</xdr:colOff>
      <xdr:row>102</xdr:row>
      <xdr:rowOff>128894</xdr:rowOff>
    </xdr:to>
    <xdr:pic>
      <xdr:nvPicPr>
        <xdr:cNvPr id="229" name="Picture 228">
          <a:extLst>
            <a:ext uri="{FF2B5EF4-FFF2-40B4-BE49-F238E27FC236}">
              <a16:creationId xmlns:a16="http://schemas.microsoft.com/office/drawing/2014/main" id="{5E79F224-68E9-24ED-6CDC-931BD9D4656E}"/>
            </a:ext>
          </a:extLst>
        </xdr:cNvPr>
        <xdr:cNvPicPr>
          <a:picLocks noChangeAspect="1"/>
        </xdr:cNvPicPr>
      </xdr:nvPicPr>
      <xdr:blipFill>
        <a:blip xmlns:r="http://schemas.openxmlformats.org/officeDocument/2006/relationships" r:embed="rId210"/>
        <a:stretch>
          <a:fillRect/>
        </a:stretch>
      </xdr:blipFill>
      <xdr:spPr>
        <a:xfrm>
          <a:off x="5164668" y="19261667"/>
          <a:ext cx="2074334" cy="298227"/>
        </a:xfrm>
        <a:prstGeom prst="rect">
          <a:avLst/>
        </a:prstGeom>
      </xdr:spPr>
    </xdr:pic>
    <xdr:clientData/>
  </xdr:twoCellAnchor>
  <xdr:twoCellAnchor editAs="oneCell">
    <xdr:from>
      <xdr:col>0</xdr:col>
      <xdr:colOff>0</xdr:colOff>
      <xdr:row>106</xdr:row>
      <xdr:rowOff>0</xdr:rowOff>
    </xdr:from>
    <xdr:to>
      <xdr:col>3</xdr:col>
      <xdr:colOff>250278</xdr:colOff>
      <xdr:row>107</xdr:row>
      <xdr:rowOff>161974</xdr:rowOff>
    </xdr:to>
    <xdr:pic>
      <xdr:nvPicPr>
        <xdr:cNvPr id="6" name="Picture 5">
          <a:extLst>
            <a:ext uri="{FF2B5EF4-FFF2-40B4-BE49-F238E27FC236}">
              <a16:creationId xmlns:a16="http://schemas.microsoft.com/office/drawing/2014/main" id="{3A9326A6-9840-1B27-9FFC-30B064A0AB09}"/>
            </a:ext>
          </a:extLst>
        </xdr:cNvPr>
        <xdr:cNvPicPr>
          <a:picLocks noChangeAspect="1"/>
        </xdr:cNvPicPr>
      </xdr:nvPicPr>
      <xdr:blipFill>
        <a:blip xmlns:r="http://schemas.openxmlformats.org/officeDocument/2006/relationships" r:embed="rId211"/>
        <a:stretch>
          <a:fillRect/>
        </a:stretch>
      </xdr:blipFill>
      <xdr:spPr>
        <a:xfrm>
          <a:off x="0" y="20193000"/>
          <a:ext cx="3658111" cy="352474"/>
        </a:xfrm>
        <a:prstGeom prst="rect">
          <a:avLst/>
        </a:prstGeom>
      </xdr:spPr>
    </xdr:pic>
    <xdr:clientData/>
  </xdr:twoCellAnchor>
  <xdr:twoCellAnchor editAs="oneCell">
    <xdr:from>
      <xdr:col>0</xdr:col>
      <xdr:colOff>0</xdr:colOff>
      <xdr:row>109</xdr:row>
      <xdr:rowOff>0</xdr:rowOff>
    </xdr:from>
    <xdr:to>
      <xdr:col>4</xdr:col>
      <xdr:colOff>1177596</xdr:colOff>
      <xdr:row>112</xdr:row>
      <xdr:rowOff>19132</xdr:rowOff>
    </xdr:to>
    <xdr:pic>
      <xdr:nvPicPr>
        <xdr:cNvPr id="21" name="Picture 20">
          <a:extLst>
            <a:ext uri="{FF2B5EF4-FFF2-40B4-BE49-F238E27FC236}">
              <a16:creationId xmlns:a16="http://schemas.microsoft.com/office/drawing/2014/main" id="{CC79AEA8-EA0D-73C8-5A1F-0CFA143BE36A}"/>
            </a:ext>
          </a:extLst>
        </xdr:cNvPr>
        <xdr:cNvPicPr>
          <a:picLocks noChangeAspect="1"/>
        </xdr:cNvPicPr>
      </xdr:nvPicPr>
      <xdr:blipFill>
        <a:blip xmlns:r="http://schemas.openxmlformats.org/officeDocument/2006/relationships" r:embed="rId212"/>
        <a:stretch>
          <a:fillRect/>
        </a:stretch>
      </xdr:blipFill>
      <xdr:spPr>
        <a:xfrm>
          <a:off x="0" y="20764500"/>
          <a:ext cx="5220429" cy="590632"/>
        </a:xfrm>
        <a:prstGeom prst="rect">
          <a:avLst/>
        </a:prstGeom>
      </xdr:spPr>
    </xdr:pic>
    <xdr:clientData/>
  </xdr:twoCellAnchor>
  <xdr:twoCellAnchor editAs="oneCell">
    <xdr:from>
      <xdr:col>0</xdr:col>
      <xdr:colOff>0</xdr:colOff>
      <xdr:row>113</xdr:row>
      <xdr:rowOff>0</xdr:rowOff>
    </xdr:from>
    <xdr:to>
      <xdr:col>4</xdr:col>
      <xdr:colOff>1168069</xdr:colOff>
      <xdr:row>115</xdr:row>
      <xdr:rowOff>85790</xdr:rowOff>
    </xdr:to>
    <xdr:pic>
      <xdr:nvPicPr>
        <xdr:cNvPr id="25" name="Picture 24">
          <a:extLst>
            <a:ext uri="{FF2B5EF4-FFF2-40B4-BE49-F238E27FC236}">
              <a16:creationId xmlns:a16="http://schemas.microsoft.com/office/drawing/2014/main" id="{D7F64975-0E97-84BA-58E6-07DFC56C87E1}"/>
            </a:ext>
          </a:extLst>
        </xdr:cNvPr>
        <xdr:cNvPicPr>
          <a:picLocks noChangeAspect="1"/>
        </xdr:cNvPicPr>
      </xdr:nvPicPr>
      <xdr:blipFill>
        <a:blip xmlns:r="http://schemas.openxmlformats.org/officeDocument/2006/relationships" r:embed="rId213"/>
        <a:stretch>
          <a:fillRect/>
        </a:stretch>
      </xdr:blipFill>
      <xdr:spPr>
        <a:xfrm>
          <a:off x="0" y="21526500"/>
          <a:ext cx="5210902" cy="466790"/>
        </a:xfrm>
        <a:prstGeom prst="rect">
          <a:avLst/>
        </a:prstGeom>
      </xdr:spPr>
    </xdr:pic>
    <xdr:clientData/>
  </xdr:twoCellAnchor>
  <xdr:twoCellAnchor editAs="oneCell">
    <xdr:from>
      <xdr:col>0</xdr:col>
      <xdr:colOff>0</xdr:colOff>
      <xdr:row>116</xdr:row>
      <xdr:rowOff>0</xdr:rowOff>
    </xdr:from>
    <xdr:to>
      <xdr:col>4</xdr:col>
      <xdr:colOff>929911</xdr:colOff>
      <xdr:row>118</xdr:row>
      <xdr:rowOff>104843</xdr:rowOff>
    </xdr:to>
    <xdr:pic>
      <xdr:nvPicPr>
        <xdr:cNvPr id="37" name="Picture 36">
          <a:extLst>
            <a:ext uri="{FF2B5EF4-FFF2-40B4-BE49-F238E27FC236}">
              <a16:creationId xmlns:a16="http://schemas.microsoft.com/office/drawing/2014/main" id="{061CF460-90C9-323B-FF92-4DFEA055F29B}"/>
            </a:ext>
          </a:extLst>
        </xdr:cNvPr>
        <xdr:cNvPicPr>
          <a:picLocks noChangeAspect="1"/>
        </xdr:cNvPicPr>
      </xdr:nvPicPr>
      <xdr:blipFill>
        <a:blip xmlns:r="http://schemas.openxmlformats.org/officeDocument/2006/relationships" r:embed="rId214"/>
        <a:stretch>
          <a:fillRect/>
        </a:stretch>
      </xdr:blipFill>
      <xdr:spPr>
        <a:xfrm>
          <a:off x="0" y="22098000"/>
          <a:ext cx="4972744" cy="485843"/>
        </a:xfrm>
        <a:prstGeom prst="rect">
          <a:avLst/>
        </a:prstGeom>
      </xdr:spPr>
    </xdr:pic>
    <xdr:clientData/>
  </xdr:twoCellAnchor>
  <xdr:twoCellAnchor editAs="oneCell">
    <xdr:from>
      <xdr:col>0</xdr:col>
      <xdr:colOff>0</xdr:colOff>
      <xdr:row>119</xdr:row>
      <xdr:rowOff>0</xdr:rowOff>
    </xdr:from>
    <xdr:to>
      <xdr:col>4</xdr:col>
      <xdr:colOff>1082332</xdr:colOff>
      <xdr:row>121</xdr:row>
      <xdr:rowOff>47685</xdr:rowOff>
    </xdr:to>
    <xdr:pic>
      <xdr:nvPicPr>
        <xdr:cNvPr id="44" name="Picture 43">
          <a:extLst>
            <a:ext uri="{FF2B5EF4-FFF2-40B4-BE49-F238E27FC236}">
              <a16:creationId xmlns:a16="http://schemas.microsoft.com/office/drawing/2014/main" id="{C5873A71-1792-29A8-272F-56DB3EF0D2D1}"/>
            </a:ext>
          </a:extLst>
        </xdr:cNvPr>
        <xdr:cNvPicPr>
          <a:picLocks noChangeAspect="1"/>
        </xdr:cNvPicPr>
      </xdr:nvPicPr>
      <xdr:blipFill>
        <a:blip xmlns:r="http://schemas.openxmlformats.org/officeDocument/2006/relationships" r:embed="rId215"/>
        <a:stretch>
          <a:fillRect/>
        </a:stretch>
      </xdr:blipFill>
      <xdr:spPr>
        <a:xfrm>
          <a:off x="0" y="22669500"/>
          <a:ext cx="5125165" cy="428685"/>
        </a:xfrm>
        <a:prstGeom prst="rect">
          <a:avLst/>
        </a:prstGeom>
      </xdr:spPr>
    </xdr:pic>
    <xdr:clientData/>
  </xdr:twoCellAnchor>
  <xdr:twoCellAnchor editAs="oneCell">
    <xdr:from>
      <xdr:col>0</xdr:col>
      <xdr:colOff>0</xdr:colOff>
      <xdr:row>126</xdr:row>
      <xdr:rowOff>0</xdr:rowOff>
    </xdr:from>
    <xdr:to>
      <xdr:col>4</xdr:col>
      <xdr:colOff>1310964</xdr:colOff>
      <xdr:row>127</xdr:row>
      <xdr:rowOff>171501</xdr:rowOff>
    </xdr:to>
    <xdr:pic>
      <xdr:nvPicPr>
        <xdr:cNvPr id="46" name="Picture 45">
          <a:extLst>
            <a:ext uri="{FF2B5EF4-FFF2-40B4-BE49-F238E27FC236}">
              <a16:creationId xmlns:a16="http://schemas.microsoft.com/office/drawing/2014/main" id="{42E0D31E-C58D-C76C-215D-6022933A5FA7}"/>
            </a:ext>
          </a:extLst>
        </xdr:cNvPr>
        <xdr:cNvPicPr>
          <a:picLocks noChangeAspect="1"/>
        </xdr:cNvPicPr>
      </xdr:nvPicPr>
      <xdr:blipFill>
        <a:blip xmlns:r="http://schemas.openxmlformats.org/officeDocument/2006/relationships" r:embed="rId216"/>
        <a:stretch>
          <a:fillRect/>
        </a:stretch>
      </xdr:blipFill>
      <xdr:spPr>
        <a:xfrm>
          <a:off x="0" y="24003000"/>
          <a:ext cx="5353797" cy="362001"/>
        </a:xfrm>
        <a:prstGeom prst="rect">
          <a:avLst/>
        </a:prstGeom>
      </xdr:spPr>
    </xdr:pic>
    <xdr:clientData/>
  </xdr:twoCellAnchor>
  <xdr:twoCellAnchor editAs="oneCell">
    <xdr:from>
      <xdr:col>0</xdr:col>
      <xdr:colOff>0</xdr:colOff>
      <xdr:row>128</xdr:row>
      <xdr:rowOff>0</xdr:rowOff>
    </xdr:from>
    <xdr:to>
      <xdr:col>4</xdr:col>
      <xdr:colOff>1358596</xdr:colOff>
      <xdr:row>129</xdr:row>
      <xdr:rowOff>85764</xdr:rowOff>
    </xdr:to>
    <xdr:pic>
      <xdr:nvPicPr>
        <xdr:cNvPr id="47" name="Picture 46">
          <a:extLst>
            <a:ext uri="{FF2B5EF4-FFF2-40B4-BE49-F238E27FC236}">
              <a16:creationId xmlns:a16="http://schemas.microsoft.com/office/drawing/2014/main" id="{08B3C264-B948-78F6-C471-68376A73E655}"/>
            </a:ext>
          </a:extLst>
        </xdr:cNvPr>
        <xdr:cNvPicPr>
          <a:picLocks noChangeAspect="1"/>
        </xdr:cNvPicPr>
      </xdr:nvPicPr>
      <xdr:blipFill>
        <a:blip xmlns:r="http://schemas.openxmlformats.org/officeDocument/2006/relationships" r:embed="rId217"/>
        <a:stretch>
          <a:fillRect/>
        </a:stretch>
      </xdr:blipFill>
      <xdr:spPr>
        <a:xfrm>
          <a:off x="0" y="24384000"/>
          <a:ext cx="5401429" cy="276264"/>
        </a:xfrm>
        <a:prstGeom prst="rect">
          <a:avLst/>
        </a:prstGeom>
      </xdr:spPr>
    </xdr:pic>
    <xdr:clientData/>
  </xdr:twoCellAnchor>
  <xdr:twoCellAnchor editAs="oneCell">
    <xdr:from>
      <xdr:col>0</xdr:col>
      <xdr:colOff>0</xdr:colOff>
      <xdr:row>157</xdr:row>
      <xdr:rowOff>0</xdr:rowOff>
    </xdr:from>
    <xdr:to>
      <xdr:col>4</xdr:col>
      <xdr:colOff>653647</xdr:colOff>
      <xdr:row>158</xdr:row>
      <xdr:rowOff>152448</xdr:rowOff>
    </xdr:to>
    <xdr:pic>
      <xdr:nvPicPr>
        <xdr:cNvPr id="48" name="Picture 47">
          <a:extLst>
            <a:ext uri="{FF2B5EF4-FFF2-40B4-BE49-F238E27FC236}">
              <a16:creationId xmlns:a16="http://schemas.microsoft.com/office/drawing/2014/main" id="{641729FF-9A6A-2895-7AA9-EA49B20BC981}"/>
            </a:ext>
          </a:extLst>
        </xdr:cNvPr>
        <xdr:cNvPicPr>
          <a:picLocks noChangeAspect="1"/>
        </xdr:cNvPicPr>
      </xdr:nvPicPr>
      <xdr:blipFill>
        <a:blip xmlns:r="http://schemas.openxmlformats.org/officeDocument/2006/relationships" r:embed="rId218"/>
        <a:stretch>
          <a:fillRect/>
        </a:stretch>
      </xdr:blipFill>
      <xdr:spPr>
        <a:xfrm>
          <a:off x="0" y="29908500"/>
          <a:ext cx="4696480" cy="342948"/>
        </a:xfrm>
        <a:prstGeom prst="rect">
          <a:avLst/>
        </a:prstGeom>
      </xdr:spPr>
    </xdr:pic>
    <xdr:clientData/>
  </xdr:twoCellAnchor>
  <xdr:twoCellAnchor editAs="oneCell">
    <xdr:from>
      <xdr:col>0</xdr:col>
      <xdr:colOff>0</xdr:colOff>
      <xdr:row>159</xdr:row>
      <xdr:rowOff>0</xdr:rowOff>
    </xdr:from>
    <xdr:to>
      <xdr:col>4</xdr:col>
      <xdr:colOff>453594</xdr:colOff>
      <xdr:row>160</xdr:row>
      <xdr:rowOff>123869</xdr:rowOff>
    </xdr:to>
    <xdr:pic>
      <xdr:nvPicPr>
        <xdr:cNvPr id="49" name="Picture 48">
          <a:extLst>
            <a:ext uri="{FF2B5EF4-FFF2-40B4-BE49-F238E27FC236}">
              <a16:creationId xmlns:a16="http://schemas.microsoft.com/office/drawing/2014/main" id="{E155E13D-1FB7-8889-F7FD-40423CDC0F4A}"/>
            </a:ext>
          </a:extLst>
        </xdr:cNvPr>
        <xdr:cNvPicPr>
          <a:picLocks noChangeAspect="1"/>
        </xdr:cNvPicPr>
      </xdr:nvPicPr>
      <xdr:blipFill>
        <a:blip xmlns:r="http://schemas.openxmlformats.org/officeDocument/2006/relationships" r:embed="rId219"/>
        <a:stretch>
          <a:fillRect/>
        </a:stretch>
      </xdr:blipFill>
      <xdr:spPr>
        <a:xfrm>
          <a:off x="0" y="30289500"/>
          <a:ext cx="4496427" cy="314369"/>
        </a:xfrm>
        <a:prstGeom prst="rect">
          <a:avLst/>
        </a:prstGeom>
      </xdr:spPr>
    </xdr:pic>
    <xdr:clientData/>
  </xdr:twoCellAnchor>
  <xdr:twoCellAnchor editAs="oneCell">
    <xdr:from>
      <xdr:col>0</xdr:col>
      <xdr:colOff>0</xdr:colOff>
      <xdr:row>201</xdr:row>
      <xdr:rowOff>0</xdr:rowOff>
    </xdr:from>
    <xdr:to>
      <xdr:col>4</xdr:col>
      <xdr:colOff>1349069</xdr:colOff>
      <xdr:row>203</xdr:row>
      <xdr:rowOff>53</xdr:rowOff>
    </xdr:to>
    <xdr:pic>
      <xdr:nvPicPr>
        <xdr:cNvPr id="52" name="Picture 51">
          <a:extLst>
            <a:ext uri="{FF2B5EF4-FFF2-40B4-BE49-F238E27FC236}">
              <a16:creationId xmlns:a16="http://schemas.microsoft.com/office/drawing/2014/main" id="{B57605F1-C0A0-7852-3A8B-68AE00781B4A}"/>
            </a:ext>
          </a:extLst>
        </xdr:cNvPr>
        <xdr:cNvPicPr>
          <a:picLocks noChangeAspect="1"/>
        </xdr:cNvPicPr>
      </xdr:nvPicPr>
      <xdr:blipFill>
        <a:blip xmlns:r="http://schemas.openxmlformats.org/officeDocument/2006/relationships" r:embed="rId220"/>
        <a:stretch>
          <a:fillRect/>
        </a:stretch>
      </xdr:blipFill>
      <xdr:spPr>
        <a:xfrm>
          <a:off x="0" y="38279917"/>
          <a:ext cx="5391902" cy="381053"/>
        </a:xfrm>
        <a:prstGeom prst="rect">
          <a:avLst/>
        </a:prstGeom>
      </xdr:spPr>
    </xdr:pic>
    <xdr:clientData/>
  </xdr:twoCellAnchor>
  <xdr:twoCellAnchor editAs="oneCell">
    <xdr:from>
      <xdr:col>0</xdr:col>
      <xdr:colOff>0</xdr:colOff>
      <xdr:row>203</xdr:row>
      <xdr:rowOff>0</xdr:rowOff>
    </xdr:from>
    <xdr:to>
      <xdr:col>4</xdr:col>
      <xdr:colOff>1349069</xdr:colOff>
      <xdr:row>205</xdr:row>
      <xdr:rowOff>47685</xdr:rowOff>
    </xdr:to>
    <xdr:pic>
      <xdr:nvPicPr>
        <xdr:cNvPr id="58" name="Picture 57">
          <a:extLst>
            <a:ext uri="{FF2B5EF4-FFF2-40B4-BE49-F238E27FC236}">
              <a16:creationId xmlns:a16="http://schemas.microsoft.com/office/drawing/2014/main" id="{98822BE9-8DAD-F939-3099-E9289505E408}"/>
            </a:ext>
          </a:extLst>
        </xdr:cNvPr>
        <xdr:cNvPicPr>
          <a:picLocks noChangeAspect="1"/>
        </xdr:cNvPicPr>
      </xdr:nvPicPr>
      <xdr:blipFill>
        <a:blip xmlns:r="http://schemas.openxmlformats.org/officeDocument/2006/relationships" r:embed="rId221"/>
        <a:stretch>
          <a:fillRect/>
        </a:stretch>
      </xdr:blipFill>
      <xdr:spPr>
        <a:xfrm>
          <a:off x="0" y="38660917"/>
          <a:ext cx="5391902" cy="428685"/>
        </a:xfrm>
        <a:prstGeom prst="rect">
          <a:avLst/>
        </a:prstGeom>
      </xdr:spPr>
    </xdr:pic>
    <xdr:clientData/>
  </xdr:twoCellAnchor>
  <xdr:twoCellAnchor editAs="oneCell">
    <xdr:from>
      <xdr:col>0</xdr:col>
      <xdr:colOff>0</xdr:colOff>
      <xdr:row>206</xdr:row>
      <xdr:rowOff>0</xdr:rowOff>
    </xdr:from>
    <xdr:to>
      <xdr:col>4</xdr:col>
      <xdr:colOff>1530070</xdr:colOff>
      <xdr:row>208</xdr:row>
      <xdr:rowOff>66737</xdr:rowOff>
    </xdr:to>
    <xdr:pic>
      <xdr:nvPicPr>
        <xdr:cNvPr id="60" name="Picture 59">
          <a:extLst>
            <a:ext uri="{FF2B5EF4-FFF2-40B4-BE49-F238E27FC236}">
              <a16:creationId xmlns:a16="http://schemas.microsoft.com/office/drawing/2014/main" id="{63B9C5B9-6F27-3D11-3A1D-79CD94E4A270}"/>
            </a:ext>
          </a:extLst>
        </xdr:cNvPr>
        <xdr:cNvPicPr>
          <a:picLocks noChangeAspect="1"/>
        </xdr:cNvPicPr>
      </xdr:nvPicPr>
      <xdr:blipFill>
        <a:blip xmlns:r="http://schemas.openxmlformats.org/officeDocument/2006/relationships" r:embed="rId222"/>
        <a:stretch>
          <a:fillRect/>
        </a:stretch>
      </xdr:blipFill>
      <xdr:spPr>
        <a:xfrm>
          <a:off x="0" y="39232417"/>
          <a:ext cx="5572903" cy="447737"/>
        </a:xfrm>
        <a:prstGeom prst="rect">
          <a:avLst/>
        </a:prstGeom>
      </xdr:spPr>
    </xdr:pic>
    <xdr:clientData/>
  </xdr:twoCellAnchor>
  <xdr:twoCellAnchor editAs="oneCell">
    <xdr:from>
      <xdr:col>0</xdr:col>
      <xdr:colOff>0</xdr:colOff>
      <xdr:row>209</xdr:row>
      <xdr:rowOff>0</xdr:rowOff>
    </xdr:from>
    <xdr:to>
      <xdr:col>4</xdr:col>
      <xdr:colOff>1482438</xdr:colOff>
      <xdr:row>211</xdr:row>
      <xdr:rowOff>28632</xdr:rowOff>
    </xdr:to>
    <xdr:pic>
      <xdr:nvPicPr>
        <xdr:cNvPr id="62" name="Picture 61">
          <a:extLst>
            <a:ext uri="{FF2B5EF4-FFF2-40B4-BE49-F238E27FC236}">
              <a16:creationId xmlns:a16="http://schemas.microsoft.com/office/drawing/2014/main" id="{DD70DB3B-88CD-E443-C3E3-80230D9F938E}"/>
            </a:ext>
          </a:extLst>
        </xdr:cNvPr>
        <xdr:cNvPicPr>
          <a:picLocks noChangeAspect="1"/>
        </xdr:cNvPicPr>
      </xdr:nvPicPr>
      <xdr:blipFill>
        <a:blip xmlns:r="http://schemas.openxmlformats.org/officeDocument/2006/relationships" r:embed="rId223"/>
        <a:stretch>
          <a:fillRect/>
        </a:stretch>
      </xdr:blipFill>
      <xdr:spPr>
        <a:xfrm>
          <a:off x="0" y="39803917"/>
          <a:ext cx="5525271" cy="409632"/>
        </a:xfrm>
        <a:prstGeom prst="rect">
          <a:avLst/>
        </a:prstGeom>
      </xdr:spPr>
    </xdr:pic>
    <xdr:clientData/>
  </xdr:twoCellAnchor>
  <xdr:twoCellAnchor editAs="oneCell">
    <xdr:from>
      <xdr:col>0</xdr:col>
      <xdr:colOff>0</xdr:colOff>
      <xdr:row>212</xdr:row>
      <xdr:rowOff>0</xdr:rowOff>
    </xdr:from>
    <xdr:to>
      <xdr:col>4</xdr:col>
      <xdr:colOff>1472912</xdr:colOff>
      <xdr:row>214</xdr:row>
      <xdr:rowOff>47685</xdr:rowOff>
    </xdr:to>
    <xdr:pic>
      <xdr:nvPicPr>
        <xdr:cNvPr id="63" name="Picture 62">
          <a:extLst>
            <a:ext uri="{FF2B5EF4-FFF2-40B4-BE49-F238E27FC236}">
              <a16:creationId xmlns:a16="http://schemas.microsoft.com/office/drawing/2014/main" id="{D3A4A9C8-C65B-A7C0-CB97-8C1AE964186F}"/>
            </a:ext>
          </a:extLst>
        </xdr:cNvPr>
        <xdr:cNvPicPr>
          <a:picLocks noChangeAspect="1"/>
        </xdr:cNvPicPr>
      </xdr:nvPicPr>
      <xdr:blipFill>
        <a:blip xmlns:r="http://schemas.openxmlformats.org/officeDocument/2006/relationships" r:embed="rId224"/>
        <a:stretch>
          <a:fillRect/>
        </a:stretch>
      </xdr:blipFill>
      <xdr:spPr>
        <a:xfrm>
          <a:off x="0" y="40375417"/>
          <a:ext cx="5515745" cy="428685"/>
        </a:xfrm>
        <a:prstGeom prst="rect">
          <a:avLst/>
        </a:prstGeom>
      </xdr:spPr>
    </xdr:pic>
    <xdr:clientData/>
  </xdr:twoCellAnchor>
  <xdr:twoCellAnchor editAs="oneCell">
    <xdr:from>
      <xdr:col>0</xdr:col>
      <xdr:colOff>0</xdr:colOff>
      <xdr:row>215</xdr:row>
      <xdr:rowOff>0</xdr:rowOff>
    </xdr:from>
    <xdr:to>
      <xdr:col>4</xdr:col>
      <xdr:colOff>1358596</xdr:colOff>
      <xdr:row>216</xdr:row>
      <xdr:rowOff>142922</xdr:rowOff>
    </xdr:to>
    <xdr:pic>
      <xdr:nvPicPr>
        <xdr:cNvPr id="169" name="Picture 168">
          <a:extLst>
            <a:ext uri="{FF2B5EF4-FFF2-40B4-BE49-F238E27FC236}">
              <a16:creationId xmlns:a16="http://schemas.microsoft.com/office/drawing/2014/main" id="{5A4EEA9D-D4A1-5305-F3A8-87E66AD2F106}"/>
            </a:ext>
          </a:extLst>
        </xdr:cNvPr>
        <xdr:cNvPicPr>
          <a:picLocks noChangeAspect="1"/>
        </xdr:cNvPicPr>
      </xdr:nvPicPr>
      <xdr:blipFill>
        <a:blip xmlns:r="http://schemas.openxmlformats.org/officeDocument/2006/relationships" r:embed="rId225"/>
        <a:stretch>
          <a:fillRect/>
        </a:stretch>
      </xdr:blipFill>
      <xdr:spPr>
        <a:xfrm>
          <a:off x="0" y="40946917"/>
          <a:ext cx="5401429" cy="333422"/>
        </a:xfrm>
        <a:prstGeom prst="rect">
          <a:avLst/>
        </a:prstGeom>
      </xdr:spPr>
    </xdr:pic>
    <xdr:clientData/>
  </xdr:twoCellAnchor>
  <xdr:twoCellAnchor editAs="oneCell">
    <xdr:from>
      <xdr:col>0</xdr:col>
      <xdr:colOff>0</xdr:colOff>
      <xdr:row>217</xdr:row>
      <xdr:rowOff>0</xdr:rowOff>
    </xdr:from>
    <xdr:to>
      <xdr:col>4</xdr:col>
      <xdr:colOff>1434806</xdr:colOff>
      <xdr:row>219</xdr:row>
      <xdr:rowOff>38158</xdr:rowOff>
    </xdr:to>
    <xdr:pic>
      <xdr:nvPicPr>
        <xdr:cNvPr id="221" name="Picture 220">
          <a:extLst>
            <a:ext uri="{FF2B5EF4-FFF2-40B4-BE49-F238E27FC236}">
              <a16:creationId xmlns:a16="http://schemas.microsoft.com/office/drawing/2014/main" id="{8DFC6208-E07E-4FDB-5503-874A8CB1769F}"/>
            </a:ext>
          </a:extLst>
        </xdr:cNvPr>
        <xdr:cNvPicPr>
          <a:picLocks noChangeAspect="1"/>
        </xdr:cNvPicPr>
      </xdr:nvPicPr>
      <xdr:blipFill>
        <a:blip xmlns:r="http://schemas.openxmlformats.org/officeDocument/2006/relationships" r:embed="rId226"/>
        <a:stretch>
          <a:fillRect/>
        </a:stretch>
      </xdr:blipFill>
      <xdr:spPr>
        <a:xfrm>
          <a:off x="0" y="41327917"/>
          <a:ext cx="5477639" cy="419158"/>
        </a:xfrm>
        <a:prstGeom prst="rect">
          <a:avLst/>
        </a:prstGeom>
      </xdr:spPr>
    </xdr:pic>
    <xdr:clientData/>
  </xdr:twoCellAnchor>
  <xdr:twoCellAnchor editAs="oneCell">
    <xdr:from>
      <xdr:col>0</xdr:col>
      <xdr:colOff>0</xdr:colOff>
      <xdr:row>220</xdr:row>
      <xdr:rowOff>0</xdr:rowOff>
    </xdr:from>
    <xdr:to>
      <xdr:col>4</xdr:col>
      <xdr:colOff>1491964</xdr:colOff>
      <xdr:row>222</xdr:row>
      <xdr:rowOff>53</xdr:rowOff>
    </xdr:to>
    <xdr:pic>
      <xdr:nvPicPr>
        <xdr:cNvPr id="222" name="Picture 221">
          <a:extLst>
            <a:ext uri="{FF2B5EF4-FFF2-40B4-BE49-F238E27FC236}">
              <a16:creationId xmlns:a16="http://schemas.microsoft.com/office/drawing/2014/main" id="{F162CD7F-2E61-4F21-0BBC-4FEC9CE861A7}"/>
            </a:ext>
          </a:extLst>
        </xdr:cNvPr>
        <xdr:cNvPicPr>
          <a:picLocks noChangeAspect="1"/>
        </xdr:cNvPicPr>
      </xdr:nvPicPr>
      <xdr:blipFill>
        <a:blip xmlns:r="http://schemas.openxmlformats.org/officeDocument/2006/relationships" r:embed="rId227"/>
        <a:stretch>
          <a:fillRect/>
        </a:stretch>
      </xdr:blipFill>
      <xdr:spPr>
        <a:xfrm>
          <a:off x="0" y="41899417"/>
          <a:ext cx="5534797" cy="381053"/>
        </a:xfrm>
        <a:prstGeom prst="rect">
          <a:avLst/>
        </a:prstGeom>
      </xdr:spPr>
    </xdr:pic>
    <xdr:clientData/>
  </xdr:twoCellAnchor>
  <xdr:twoCellAnchor editAs="oneCell">
    <xdr:from>
      <xdr:col>0</xdr:col>
      <xdr:colOff>0</xdr:colOff>
      <xdr:row>267</xdr:row>
      <xdr:rowOff>0</xdr:rowOff>
    </xdr:from>
    <xdr:to>
      <xdr:col>4</xdr:col>
      <xdr:colOff>1530070</xdr:colOff>
      <xdr:row>269</xdr:row>
      <xdr:rowOff>9580</xdr:rowOff>
    </xdr:to>
    <xdr:pic>
      <xdr:nvPicPr>
        <xdr:cNvPr id="249" name="Picture 248">
          <a:extLst>
            <a:ext uri="{FF2B5EF4-FFF2-40B4-BE49-F238E27FC236}">
              <a16:creationId xmlns:a16="http://schemas.microsoft.com/office/drawing/2014/main" id="{A10B6F14-B746-E587-14C7-60217E12E996}"/>
            </a:ext>
          </a:extLst>
        </xdr:cNvPr>
        <xdr:cNvPicPr>
          <a:picLocks noChangeAspect="1"/>
        </xdr:cNvPicPr>
      </xdr:nvPicPr>
      <xdr:blipFill>
        <a:blip xmlns:r="http://schemas.openxmlformats.org/officeDocument/2006/relationships" r:embed="rId228"/>
        <a:stretch>
          <a:fillRect/>
        </a:stretch>
      </xdr:blipFill>
      <xdr:spPr>
        <a:xfrm>
          <a:off x="0" y="50852917"/>
          <a:ext cx="5572903" cy="390580"/>
        </a:xfrm>
        <a:prstGeom prst="rect">
          <a:avLst/>
        </a:prstGeom>
      </xdr:spPr>
    </xdr:pic>
    <xdr:clientData/>
  </xdr:twoCellAnchor>
  <xdr:twoCellAnchor editAs="oneCell">
    <xdr:from>
      <xdr:col>0</xdr:col>
      <xdr:colOff>0</xdr:colOff>
      <xdr:row>269</xdr:row>
      <xdr:rowOff>0</xdr:rowOff>
    </xdr:from>
    <xdr:to>
      <xdr:col>4</xdr:col>
      <xdr:colOff>1530070</xdr:colOff>
      <xdr:row>271</xdr:row>
      <xdr:rowOff>57211</xdr:rowOff>
    </xdr:to>
    <xdr:pic>
      <xdr:nvPicPr>
        <xdr:cNvPr id="251" name="Picture 250">
          <a:extLst>
            <a:ext uri="{FF2B5EF4-FFF2-40B4-BE49-F238E27FC236}">
              <a16:creationId xmlns:a16="http://schemas.microsoft.com/office/drawing/2014/main" id="{DA82547C-1DBE-CCAC-0FE9-18CA2014FAA7}"/>
            </a:ext>
          </a:extLst>
        </xdr:cNvPr>
        <xdr:cNvPicPr>
          <a:picLocks noChangeAspect="1"/>
        </xdr:cNvPicPr>
      </xdr:nvPicPr>
      <xdr:blipFill>
        <a:blip xmlns:r="http://schemas.openxmlformats.org/officeDocument/2006/relationships" r:embed="rId229"/>
        <a:stretch>
          <a:fillRect/>
        </a:stretch>
      </xdr:blipFill>
      <xdr:spPr>
        <a:xfrm>
          <a:off x="0" y="51233917"/>
          <a:ext cx="5572903" cy="438211"/>
        </a:xfrm>
        <a:prstGeom prst="rect">
          <a:avLst/>
        </a:prstGeom>
      </xdr:spPr>
    </xdr:pic>
    <xdr:clientData/>
  </xdr:twoCellAnchor>
  <xdr:twoCellAnchor editAs="oneCell">
    <xdr:from>
      <xdr:col>0</xdr:col>
      <xdr:colOff>0</xdr:colOff>
      <xdr:row>272</xdr:row>
      <xdr:rowOff>0</xdr:rowOff>
    </xdr:from>
    <xdr:to>
      <xdr:col>4</xdr:col>
      <xdr:colOff>1539596</xdr:colOff>
      <xdr:row>274</xdr:row>
      <xdr:rowOff>95316</xdr:rowOff>
    </xdr:to>
    <xdr:pic>
      <xdr:nvPicPr>
        <xdr:cNvPr id="253" name="Picture 252">
          <a:extLst>
            <a:ext uri="{FF2B5EF4-FFF2-40B4-BE49-F238E27FC236}">
              <a16:creationId xmlns:a16="http://schemas.microsoft.com/office/drawing/2014/main" id="{589FB757-E4F8-4EC6-1E92-7C9C2253310B}"/>
            </a:ext>
          </a:extLst>
        </xdr:cNvPr>
        <xdr:cNvPicPr>
          <a:picLocks noChangeAspect="1"/>
        </xdr:cNvPicPr>
      </xdr:nvPicPr>
      <xdr:blipFill>
        <a:blip xmlns:r="http://schemas.openxmlformats.org/officeDocument/2006/relationships" r:embed="rId230"/>
        <a:stretch>
          <a:fillRect/>
        </a:stretch>
      </xdr:blipFill>
      <xdr:spPr>
        <a:xfrm>
          <a:off x="0" y="51805417"/>
          <a:ext cx="5582429" cy="476316"/>
        </a:xfrm>
        <a:prstGeom prst="rect">
          <a:avLst/>
        </a:prstGeom>
      </xdr:spPr>
    </xdr:pic>
    <xdr:clientData/>
  </xdr:twoCellAnchor>
  <xdr:twoCellAnchor editAs="oneCell">
    <xdr:from>
      <xdr:col>0</xdr:col>
      <xdr:colOff>0</xdr:colOff>
      <xdr:row>275</xdr:row>
      <xdr:rowOff>0</xdr:rowOff>
    </xdr:from>
    <xdr:to>
      <xdr:col>4</xdr:col>
      <xdr:colOff>1530070</xdr:colOff>
      <xdr:row>276</xdr:row>
      <xdr:rowOff>161974</xdr:rowOff>
    </xdr:to>
    <xdr:pic>
      <xdr:nvPicPr>
        <xdr:cNvPr id="255" name="Picture 254">
          <a:extLst>
            <a:ext uri="{FF2B5EF4-FFF2-40B4-BE49-F238E27FC236}">
              <a16:creationId xmlns:a16="http://schemas.microsoft.com/office/drawing/2014/main" id="{4F92F317-2110-F007-919C-176A1D9AC8E8}"/>
            </a:ext>
          </a:extLst>
        </xdr:cNvPr>
        <xdr:cNvPicPr>
          <a:picLocks noChangeAspect="1"/>
        </xdr:cNvPicPr>
      </xdr:nvPicPr>
      <xdr:blipFill>
        <a:blip xmlns:r="http://schemas.openxmlformats.org/officeDocument/2006/relationships" r:embed="rId231"/>
        <a:stretch>
          <a:fillRect/>
        </a:stretch>
      </xdr:blipFill>
      <xdr:spPr>
        <a:xfrm>
          <a:off x="0" y="52376917"/>
          <a:ext cx="5572903" cy="352474"/>
        </a:xfrm>
        <a:prstGeom prst="rect">
          <a:avLst/>
        </a:prstGeom>
      </xdr:spPr>
    </xdr:pic>
    <xdr:clientData/>
  </xdr:twoCellAnchor>
  <xdr:twoCellAnchor editAs="oneCell">
    <xdr:from>
      <xdr:col>0</xdr:col>
      <xdr:colOff>0</xdr:colOff>
      <xdr:row>282</xdr:row>
      <xdr:rowOff>0</xdr:rowOff>
    </xdr:from>
    <xdr:to>
      <xdr:col>4</xdr:col>
      <xdr:colOff>1320490</xdr:colOff>
      <xdr:row>284</xdr:row>
      <xdr:rowOff>57211</xdr:rowOff>
    </xdr:to>
    <xdr:pic>
      <xdr:nvPicPr>
        <xdr:cNvPr id="256" name="Picture 255">
          <a:extLst>
            <a:ext uri="{FF2B5EF4-FFF2-40B4-BE49-F238E27FC236}">
              <a16:creationId xmlns:a16="http://schemas.microsoft.com/office/drawing/2014/main" id="{7F9E9CFD-420C-D588-113F-B56FA3506E29}"/>
            </a:ext>
          </a:extLst>
        </xdr:cNvPr>
        <xdr:cNvPicPr>
          <a:picLocks noChangeAspect="1"/>
        </xdr:cNvPicPr>
      </xdr:nvPicPr>
      <xdr:blipFill>
        <a:blip xmlns:r="http://schemas.openxmlformats.org/officeDocument/2006/relationships" r:embed="rId232"/>
        <a:stretch>
          <a:fillRect/>
        </a:stretch>
      </xdr:blipFill>
      <xdr:spPr>
        <a:xfrm>
          <a:off x="0" y="53710417"/>
          <a:ext cx="5363323" cy="438211"/>
        </a:xfrm>
        <a:prstGeom prst="rect">
          <a:avLst/>
        </a:prstGeom>
      </xdr:spPr>
    </xdr:pic>
    <xdr:clientData/>
  </xdr:twoCellAnchor>
  <xdr:twoCellAnchor editAs="oneCell">
    <xdr:from>
      <xdr:col>0</xdr:col>
      <xdr:colOff>0</xdr:colOff>
      <xdr:row>285</xdr:row>
      <xdr:rowOff>0</xdr:rowOff>
    </xdr:from>
    <xdr:to>
      <xdr:col>4</xdr:col>
      <xdr:colOff>1101385</xdr:colOff>
      <xdr:row>287</xdr:row>
      <xdr:rowOff>38158</xdr:rowOff>
    </xdr:to>
    <xdr:pic>
      <xdr:nvPicPr>
        <xdr:cNvPr id="261" name="Picture 260">
          <a:extLst>
            <a:ext uri="{FF2B5EF4-FFF2-40B4-BE49-F238E27FC236}">
              <a16:creationId xmlns:a16="http://schemas.microsoft.com/office/drawing/2014/main" id="{14BE004E-9555-07CA-5315-92AE69003BD2}"/>
            </a:ext>
          </a:extLst>
        </xdr:cNvPr>
        <xdr:cNvPicPr>
          <a:picLocks noChangeAspect="1"/>
        </xdr:cNvPicPr>
      </xdr:nvPicPr>
      <xdr:blipFill>
        <a:blip xmlns:r="http://schemas.openxmlformats.org/officeDocument/2006/relationships" r:embed="rId233"/>
        <a:stretch>
          <a:fillRect/>
        </a:stretch>
      </xdr:blipFill>
      <xdr:spPr>
        <a:xfrm>
          <a:off x="0" y="54281917"/>
          <a:ext cx="5144218" cy="419158"/>
        </a:xfrm>
        <a:prstGeom prst="rect">
          <a:avLst/>
        </a:prstGeom>
      </xdr:spPr>
    </xdr:pic>
    <xdr:clientData/>
  </xdr:twoCellAnchor>
  <xdr:twoCellAnchor editAs="oneCell">
    <xdr:from>
      <xdr:col>0</xdr:col>
      <xdr:colOff>0</xdr:colOff>
      <xdr:row>288</xdr:row>
      <xdr:rowOff>0</xdr:rowOff>
    </xdr:from>
    <xdr:to>
      <xdr:col>4</xdr:col>
      <xdr:colOff>1187122</xdr:colOff>
      <xdr:row>290</xdr:row>
      <xdr:rowOff>57211</xdr:rowOff>
    </xdr:to>
    <xdr:pic>
      <xdr:nvPicPr>
        <xdr:cNvPr id="264" name="Picture 263">
          <a:extLst>
            <a:ext uri="{FF2B5EF4-FFF2-40B4-BE49-F238E27FC236}">
              <a16:creationId xmlns:a16="http://schemas.microsoft.com/office/drawing/2014/main" id="{C5A6FE65-6C4B-FA7F-BACC-07C14BD6D341}"/>
            </a:ext>
          </a:extLst>
        </xdr:cNvPr>
        <xdr:cNvPicPr>
          <a:picLocks noChangeAspect="1"/>
        </xdr:cNvPicPr>
      </xdr:nvPicPr>
      <xdr:blipFill>
        <a:blip xmlns:r="http://schemas.openxmlformats.org/officeDocument/2006/relationships" r:embed="rId234"/>
        <a:stretch>
          <a:fillRect/>
        </a:stretch>
      </xdr:blipFill>
      <xdr:spPr>
        <a:xfrm>
          <a:off x="0" y="54853417"/>
          <a:ext cx="5229955" cy="438211"/>
        </a:xfrm>
        <a:prstGeom prst="rect">
          <a:avLst/>
        </a:prstGeom>
      </xdr:spPr>
    </xdr:pic>
    <xdr:clientData/>
  </xdr:twoCellAnchor>
  <xdr:twoCellAnchor editAs="oneCell">
    <xdr:from>
      <xdr:col>0</xdr:col>
      <xdr:colOff>0</xdr:colOff>
      <xdr:row>354</xdr:row>
      <xdr:rowOff>52916</xdr:rowOff>
    </xdr:from>
    <xdr:to>
      <xdr:col>4</xdr:col>
      <xdr:colOff>1539596</xdr:colOff>
      <xdr:row>356</xdr:row>
      <xdr:rowOff>43443</xdr:rowOff>
    </xdr:to>
    <xdr:pic>
      <xdr:nvPicPr>
        <xdr:cNvPr id="266" name="Picture 265">
          <a:extLst>
            <a:ext uri="{FF2B5EF4-FFF2-40B4-BE49-F238E27FC236}">
              <a16:creationId xmlns:a16="http://schemas.microsoft.com/office/drawing/2014/main" id="{617B91C7-620A-EDC1-5F35-B738CF1CEDE5}"/>
            </a:ext>
          </a:extLst>
        </xdr:cNvPr>
        <xdr:cNvPicPr>
          <a:picLocks noChangeAspect="1"/>
        </xdr:cNvPicPr>
      </xdr:nvPicPr>
      <xdr:blipFill>
        <a:blip xmlns:r="http://schemas.openxmlformats.org/officeDocument/2006/relationships" r:embed="rId235"/>
        <a:stretch>
          <a:fillRect/>
        </a:stretch>
      </xdr:blipFill>
      <xdr:spPr>
        <a:xfrm>
          <a:off x="0" y="67479333"/>
          <a:ext cx="5582429" cy="371527"/>
        </a:xfrm>
        <a:prstGeom prst="rect">
          <a:avLst/>
        </a:prstGeom>
      </xdr:spPr>
    </xdr:pic>
    <xdr:clientData/>
  </xdr:twoCellAnchor>
  <xdr:twoCellAnchor editAs="oneCell">
    <xdr:from>
      <xdr:col>0</xdr:col>
      <xdr:colOff>0</xdr:colOff>
      <xdr:row>430</xdr:row>
      <xdr:rowOff>0</xdr:rowOff>
    </xdr:from>
    <xdr:to>
      <xdr:col>3</xdr:col>
      <xdr:colOff>497527</xdr:colOff>
      <xdr:row>432</xdr:row>
      <xdr:rowOff>9580</xdr:rowOff>
    </xdr:to>
    <xdr:pic>
      <xdr:nvPicPr>
        <xdr:cNvPr id="267" name="Picture 266">
          <a:extLst>
            <a:ext uri="{FF2B5EF4-FFF2-40B4-BE49-F238E27FC236}">
              <a16:creationId xmlns:a16="http://schemas.microsoft.com/office/drawing/2014/main" id="{55D89813-C51D-F128-53FE-10DAFB26668E}"/>
            </a:ext>
          </a:extLst>
        </xdr:cNvPr>
        <xdr:cNvPicPr>
          <a:picLocks noChangeAspect="1"/>
        </xdr:cNvPicPr>
      </xdr:nvPicPr>
      <xdr:blipFill>
        <a:blip xmlns:r="http://schemas.openxmlformats.org/officeDocument/2006/relationships" r:embed="rId236"/>
        <a:stretch>
          <a:fillRect/>
        </a:stretch>
      </xdr:blipFill>
      <xdr:spPr>
        <a:xfrm>
          <a:off x="0" y="81903794"/>
          <a:ext cx="3915321" cy="390580"/>
        </a:xfrm>
        <a:prstGeom prst="rect">
          <a:avLst/>
        </a:prstGeom>
      </xdr:spPr>
    </xdr:pic>
    <xdr:clientData/>
  </xdr:twoCellAnchor>
  <xdr:twoCellAnchor editAs="oneCell">
    <xdr:from>
      <xdr:col>0</xdr:col>
      <xdr:colOff>0</xdr:colOff>
      <xdr:row>433</xdr:row>
      <xdr:rowOff>0</xdr:rowOff>
    </xdr:from>
    <xdr:to>
      <xdr:col>3</xdr:col>
      <xdr:colOff>583264</xdr:colOff>
      <xdr:row>435</xdr:row>
      <xdr:rowOff>38158</xdr:rowOff>
    </xdr:to>
    <xdr:pic>
      <xdr:nvPicPr>
        <xdr:cNvPr id="271" name="Picture 270">
          <a:extLst>
            <a:ext uri="{FF2B5EF4-FFF2-40B4-BE49-F238E27FC236}">
              <a16:creationId xmlns:a16="http://schemas.microsoft.com/office/drawing/2014/main" id="{FD12ED77-502D-6AD8-369D-9E45FBCD09FD}"/>
            </a:ext>
          </a:extLst>
        </xdr:cNvPr>
        <xdr:cNvPicPr>
          <a:picLocks noChangeAspect="1"/>
        </xdr:cNvPicPr>
      </xdr:nvPicPr>
      <xdr:blipFill>
        <a:blip xmlns:r="http://schemas.openxmlformats.org/officeDocument/2006/relationships" r:embed="rId237"/>
        <a:stretch>
          <a:fillRect/>
        </a:stretch>
      </xdr:blipFill>
      <xdr:spPr>
        <a:xfrm>
          <a:off x="0" y="82475294"/>
          <a:ext cx="4001058" cy="419158"/>
        </a:xfrm>
        <a:prstGeom prst="rect">
          <a:avLst/>
        </a:prstGeom>
      </xdr:spPr>
    </xdr:pic>
    <xdr:clientData/>
  </xdr:twoCellAnchor>
  <xdr:twoCellAnchor editAs="oneCell">
    <xdr:from>
      <xdr:col>0</xdr:col>
      <xdr:colOff>0</xdr:colOff>
      <xdr:row>436</xdr:row>
      <xdr:rowOff>0</xdr:rowOff>
    </xdr:from>
    <xdr:to>
      <xdr:col>4</xdr:col>
      <xdr:colOff>11214</xdr:colOff>
      <xdr:row>438</xdr:row>
      <xdr:rowOff>9580</xdr:rowOff>
    </xdr:to>
    <xdr:pic>
      <xdr:nvPicPr>
        <xdr:cNvPr id="272" name="Picture 271">
          <a:extLst>
            <a:ext uri="{FF2B5EF4-FFF2-40B4-BE49-F238E27FC236}">
              <a16:creationId xmlns:a16="http://schemas.microsoft.com/office/drawing/2014/main" id="{80AAF155-88B4-CA9D-1F20-F9C420BEBCB5}"/>
            </a:ext>
          </a:extLst>
        </xdr:cNvPr>
        <xdr:cNvPicPr>
          <a:picLocks noChangeAspect="1"/>
        </xdr:cNvPicPr>
      </xdr:nvPicPr>
      <xdr:blipFill>
        <a:blip xmlns:r="http://schemas.openxmlformats.org/officeDocument/2006/relationships" r:embed="rId238"/>
        <a:stretch>
          <a:fillRect/>
        </a:stretch>
      </xdr:blipFill>
      <xdr:spPr>
        <a:xfrm>
          <a:off x="0" y="83046794"/>
          <a:ext cx="4067743" cy="390580"/>
        </a:xfrm>
        <a:prstGeom prst="rect">
          <a:avLst/>
        </a:prstGeom>
      </xdr:spPr>
    </xdr:pic>
    <xdr:clientData/>
  </xdr:twoCellAnchor>
  <xdr:twoCellAnchor editAs="oneCell">
    <xdr:from>
      <xdr:col>1</xdr:col>
      <xdr:colOff>448235</xdr:colOff>
      <xdr:row>488</xdr:row>
      <xdr:rowOff>89649</xdr:rowOff>
    </xdr:from>
    <xdr:to>
      <xdr:col>4</xdr:col>
      <xdr:colOff>1266265</xdr:colOff>
      <xdr:row>491</xdr:row>
      <xdr:rowOff>18725</xdr:rowOff>
    </xdr:to>
    <xdr:pic>
      <xdr:nvPicPr>
        <xdr:cNvPr id="274" name="Picture 273">
          <a:extLst>
            <a:ext uri="{FF2B5EF4-FFF2-40B4-BE49-F238E27FC236}">
              <a16:creationId xmlns:a16="http://schemas.microsoft.com/office/drawing/2014/main" id="{70B9E304-8AB0-61AF-13C7-A021232AC196}"/>
            </a:ext>
          </a:extLst>
        </xdr:cNvPr>
        <xdr:cNvPicPr>
          <a:picLocks noChangeAspect="1"/>
        </xdr:cNvPicPr>
      </xdr:nvPicPr>
      <xdr:blipFill>
        <a:blip xmlns:r="http://schemas.openxmlformats.org/officeDocument/2006/relationships" r:embed="rId239"/>
        <a:stretch>
          <a:fillRect/>
        </a:stretch>
      </xdr:blipFill>
      <xdr:spPr>
        <a:xfrm>
          <a:off x="2543735" y="93042443"/>
          <a:ext cx="2779059" cy="500576"/>
        </a:xfrm>
        <a:prstGeom prst="rect">
          <a:avLst/>
        </a:prstGeom>
      </xdr:spPr>
    </xdr:pic>
    <xdr:clientData/>
  </xdr:twoCellAnchor>
  <xdr:twoCellAnchor editAs="oneCell">
    <xdr:from>
      <xdr:col>1</xdr:col>
      <xdr:colOff>437029</xdr:colOff>
      <xdr:row>496</xdr:row>
      <xdr:rowOff>44824</xdr:rowOff>
    </xdr:from>
    <xdr:to>
      <xdr:col>4</xdr:col>
      <xdr:colOff>1753057</xdr:colOff>
      <xdr:row>499</xdr:row>
      <xdr:rowOff>44904</xdr:rowOff>
    </xdr:to>
    <xdr:pic>
      <xdr:nvPicPr>
        <xdr:cNvPr id="275" name="Picture 274">
          <a:extLst>
            <a:ext uri="{FF2B5EF4-FFF2-40B4-BE49-F238E27FC236}">
              <a16:creationId xmlns:a16="http://schemas.microsoft.com/office/drawing/2014/main" id="{16D42860-12A7-8DB1-9CA4-9B2BD30F52AD}"/>
            </a:ext>
          </a:extLst>
        </xdr:cNvPr>
        <xdr:cNvPicPr>
          <a:picLocks noChangeAspect="1"/>
        </xdr:cNvPicPr>
      </xdr:nvPicPr>
      <xdr:blipFill>
        <a:blip xmlns:r="http://schemas.openxmlformats.org/officeDocument/2006/relationships" r:embed="rId240"/>
        <a:stretch>
          <a:fillRect/>
        </a:stretch>
      </xdr:blipFill>
      <xdr:spPr>
        <a:xfrm>
          <a:off x="2532529" y="94521618"/>
          <a:ext cx="3277057" cy="571580"/>
        </a:xfrm>
        <a:prstGeom prst="rect">
          <a:avLst/>
        </a:prstGeom>
      </xdr:spPr>
    </xdr:pic>
    <xdr:clientData/>
  </xdr:twoCellAnchor>
  <xdr:twoCellAnchor editAs="oneCell">
    <xdr:from>
      <xdr:col>4</xdr:col>
      <xdr:colOff>123265</xdr:colOff>
      <xdr:row>502</xdr:row>
      <xdr:rowOff>0</xdr:rowOff>
    </xdr:from>
    <xdr:to>
      <xdr:col>7</xdr:col>
      <xdr:colOff>20606</xdr:colOff>
      <xdr:row>503</xdr:row>
      <xdr:rowOff>85764</xdr:rowOff>
    </xdr:to>
    <xdr:pic>
      <xdr:nvPicPr>
        <xdr:cNvPr id="278" name="Picture 277">
          <a:extLst>
            <a:ext uri="{FF2B5EF4-FFF2-40B4-BE49-F238E27FC236}">
              <a16:creationId xmlns:a16="http://schemas.microsoft.com/office/drawing/2014/main" id="{86E7E8B1-63DB-B88C-3412-D6602F83DC50}"/>
            </a:ext>
          </a:extLst>
        </xdr:cNvPr>
        <xdr:cNvPicPr>
          <a:picLocks noChangeAspect="1"/>
        </xdr:cNvPicPr>
      </xdr:nvPicPr>
      <xdr:blipFill>
        <a:blip xmlns:r="http://schemas.openxmlformats.org/officeDocument/2006/relationships" r:embed="rId241"/>
        <a:stretch>
          <a:fillRect/>
        </a:stretch>
      </xdr:blipFill>
      <xdr:spPr>
        <a:xfrm>
          <a:off x="4179794" y="95619794"/>
          <a:ext cx="3124636" cy="276264"/>
        </a:xfrm>
        <a:prstGeom prst="rect">
          <a:avLst/>
        </a:prstGeom>
      </xdr:spPr>
    </xdr:pic>
    <xdr:clientData/>
  </xdr:twoCellAnchor>
  <xdr:twoCellAnchor editAs="oneCell">
    <xdr:from>
      <xdr:col>4</xdr:col>
      <xdr:colOff>67235</xdr:colOff>
      <xdr:row>500</xdr:row>
      <xdr:rowOff>0</xdr:rowOff>
    </xdr:from>
    <xdr:to>
      <xdr:col>6</xdr:col>
      <xdr:colOff>144919</xdr:colOff>
      <xdr:row>501</xdr:row>
      <xdr:rowOff>47658</xdr:rowOff>
    </xdr:to>
    <xdr:pic>
      <xdr:nvPicPr>
        <xdr:cNvPr id="279" name="Picture 278">
          <a:extLst>
            <a:ext uri="{FF2B5EF4-FFF2-40B4-BE49-F238E27FC236}">
              <a16:creationId xmlns:a16="http://schemas.microsoft.com/office/drawing/2014/main" id="{D9191535-3298-5511-B59C-A6A4FE9F2065}"/>
            </a:ext>
          </a:extLst>
        </xdr:cNvPr>
        <xdr:cNvPicPr>
          <a:picLocks noChangeAspect="1"/>
        </xdr:cNvPicPr>
      </xdr:nvPicPr>
      <xdr:blipFill>
        <a:blip xmlns:r="http://schemas.openxmlformats.org/officeDocument/2006/relationships" r:embed="rId242"/>
        <a:stretch>
          <a:fillRect/>
        </a:stretch>
      </xdr:blipFill>
      <xdr:spPr>
        <a:xfrm>
          <a:off x="4123764" y="95238794"/>
          <a:ext cx="2610214" cy="238158"/>
        </a:xfrm>
        <a:prstGeom prst="rect">
          <a:avLst/>
        </a:prstGeom>
      </xdr:spPr>
    </xdr:pic>
    <xdr:clientData/>
  </xdr:twoCellAnchor>
  <xdr:twoCellAnchor editAs="oneCell">
    <xdr:from>
      <xdr:col>4</xdr:col>
      <xdr:colOff>33618</xdr:colOff>
      <xdr:row>510</xdr:row>
      <xdr:rowOff>11206</xdr:rowOff>
    </xdr:from>
    <xdr:to>
      <xdr:col>8</xdr:col>
      <xdr:colOff>475539</xdr:colOff>
      <xdr:row>512</xdr:row>
      <xdr:rowOff>67235</xdr:rowOff>
    </xdr:to>
    <xdr:pic>
      <xdr:nvPicPr>
        <xdr:cNvPr id="280" name="Picture 279">
          <a:extLst>
            <a:ext uri="{FF2B5EF4-FFF2-40B4-BE49-F238E27FC236}">
              <a16:creationId xmlns:a16="http://schemas.microsoft.com/office/drawing/2014/main" id="{088998DC-FCAB-8C54-19B6-CE7E284EA4F9}"/>
            </a:ext>
          </a:extLst>
        </xdr:cNvPr>
        <xdr:cNvPicPr>
          <a:picLocks noChangeAspect="1"/>
        </xdr:cNvPicPr>
      </xdr:nvPicPr>
      <xdr:blipFill>
        <a:blip xmlns:r="http://schemas.openxmlformats.org/officeDocument/2006/relationships" r:embed="rId243"/>
        <a:stretch>
          <a:fillRect/>
        </a:stretch>
      </xdr:blipFill>
      <xdr:spPr>
        <a:xfrm>
          <a:off x="4090147" y="97155000"/>
          <a:ext cx="4397598" cy="437029"/>
        </a:xfrm>
        <a:prstGeom prst="rect">
          <a:avLst/>
        </a:prstGeom>
      </xdr:spPr>
    </xdr:pic>
    <xdr:clientData/>
  </xdr:twoCellAnchor>
  <xdr:twoCellAnchor editAs="oneCell">
    <xdr:from>
      <xdr:col>3</xdr:col>
      <xdr:colOff>515472</xdr:colOff>
      <xdr:row>518</xdr:row>
      <xdr:rowOff>112058</xdr:rowOff>
    </xdr:from>
    <xdr:to>
      <xdr:col>8</xdr:col>
      <xdr:colOff>571502</xdr:colOff>
      <xdr:row>520</xdr:row>
      <xdr:rowOff>145968</xdr:rowOff>
    </xdr:to>
    <xdr:pic>
      <xdr:nvPicPr>
        <xdr:cNvPr id="281" name="Picture 280">
          <a:extLst>
            <a:ext uri="{FF2B5EF4-FFF2-40B4-BE49-F238E27FC236}">
              <a16:creationId xmlns:a16="http://schemas.microsoft.com/office/drawing/2014/main" id="{32AB4E01-D335-D9E4-5C73-E70C9AA490BA}"/>
            </a:ext>
          </a:extLst>
        </xdr:cNvPr>
        <xdr:cNvPicPr>
          <a:picLocks noChangeAspect="1"/>
        </xdr:cNvPicPr>
      </xdr:nvPicPr>
      <xdr:blipFill>
        <a:blip xmlns:r="http://schemas.openxmlformats.org/officeDocument/2006/relationships" r:embed="rId244"/>
        <a:stretch>
          <a:fillRect/>
        </a:stretch>
      </xdr:blipFill>
      <xdr:spPr>
        <a:xfrm>
          <a:off x="3933266" y="98779852"/>
          <a:ext cx="4650442" cy="414910"/>
        </a:xfrm>
        <a:prstGeom prst="rect">
          <a:avLst/>
        </a:prstGeom>
      </xdr:spPr>
    </xdr:pic>
    <xdr:clientData/>
  </xdr:twoCellAnchor>
  <xdr:twoCellAnchor editAs="oneCell">
    <xdr:from>
      <xdr:col>4</xdr:col>
      <xdr:colOff>1311088</xdr:colOff>
      <xdr:row>523</xdr:row>
      <xdr:rowOff>0</xdr:rowOff>
    </xdr:from>
    <xdr:to>
      <xdr:col>9</xdr:col>
      <xdr:colOff>33518</xdr:colOff>
      <xdr:row>524</xdr:row>
      <xdr:rowOff>47658</xdr:rowOff>
    </xdr:to>
    <xdr:pic>
      <xdr:nvPicPr>
        <xdr:cNvPr id="282" name="Picture 281">
          <a:extLst>
            <a:ext uri="{FF2B5EF4-FFF2-40B4-BE49-F238E27FC236}">
              <a16:creationId xmlns:a16="http://schemas.microsoft.com/office/drawing/2014/main" id="{7B6A24D2-A495-3C43-2D33-3DCDAEFB6961}"/>
            </a:ext>
          </a:extLst>
        </xdr:cNvPr>
        <xdr:cNvPicPr>
          <a:picLocks noChangeAspect="1"/>
        </xdr:cNvPicPr>
      </xdr:nvPicPr>
      <xdr:blipFill>
        <a:blip xmlns:r="http://schemas.openxmlformats.org/officeDocument/2006/relationships" r:embed="rId245"/>
        <a:stretch>
          <a:fillRect/>
        </a:stretch>
      </xdr:blipFill>
      <xdr:spPr>
        <a:xfrm>
          <a:off x="5367617" y="99620294"/>
          <a:ext cx="3305636" cy="238158"/>
        </a:xfrm>
        <a:prstGeom prst="rect">
          <a:avLst/>
        </a:prstGeom>
      </xdr:spPr>
    </xdr:pic>
    <xdr:clientData/>
  </xdr:twoCellAnchor>
  <xdr:twoCellAnchor editAs="oneCell">
    <xdr:from>
      <xdr:col>4</xdr:col>
      <xdr:colOff>1120588</xdr:colOff>
      <xdr:row>525</xdr:row>
      <xdr:rowOff>11206</xdr:rowOff>
    </xdr:from>
    <xdr:to>
      <xdr:col>8</xdr:col>
      <xdr:colOff>137126</xdr:colOff>
      <xdr:row>526</xdr:row>
      <xdr:rowOff>49338</xdr:rowOff>
    </xdr:to>
    <xdr:pic>
      <xdr:nvPicPr>
        <xdr:cNvPr id="283" name="Picture 282">
          <a:extLst>
            <a:ext uri="{FF2B5EF4-FFF2-40B4-BE49-F238E27FC236}">
              <a16:creationId xmlns:a16="http://schemas.microsoft.com/office/drawing/2014/main" id="{EDF99C5E-A67F-981E-D63C-CAD8B909D88B}"/>
            </a:ext>
          </a:extLst>
        </xdr:cNvPr>
        <xdr:cNvPicPr>
          <a:picLocks noChangeAspect="1"/>
        </xdr:cNvPicPr>
      </xdr:nvPicPr>
      <xdr:blipFill>
        <a:blip xmlns:r="http://schemas.openxmlformats.org/officeDocument/2006/relationships" r:embed="rId246"/>
        <a:stretch>
          <a:fillRect/>
        </a:stretch>
      </xdr:blipFill>
      <xdr:spPr>
        <a:xfrm>
          <a:off x="5177117" y="100012500"/>
          <a:ext cx="2972215" cy="228632"/>
        </a:xfrm>
        <a:prstGeom prst="rect">
          <a:avLst/>
        </a:prstGeom>
      </xdr:spPr>
    </xdr:pic>
    <xdr:clientData/>
  </xdr:twoCellAnchor>
  <xdr:twoCellAnchor editAs="oneCell">
    <xdr:from>
      <xdr:col>1</xdr:col>
      <xdr:colOff>414617</xdr:colOff>
      <xdr:row>531</xdr:row>
      <xdr:rowOff>56029</xdr:rowOff>
    </xdr:from>
    <xdr:to>
      <xdr:col>5</xdr:col>
      <xdr:colOff>106947</xdr:colOff>
      <xdr:row>534</xdr:row>
      <xdr:rowOff>18003</xdr:rowOff>
    </xdr:to>
    <xdr:pic>
      <xdr:nvPicPr>
        <xdr:cNvPr id="284" name="Picture 283">
          <a:extLst>
            <a:ext uri="{FF2B5EF4-FFF2-40B4-BE49-F238E27FC236}">
              <a16:creationId xmlns:a16="http://schemas.microsoft.com/office/drawing/2014/main" id="{0E769F9E-6E64-BCE8-EA50-912D02621D6C}"/>
            </a:ext>
          </a:extLst>
        </xdr:cNvPr>
        <xdr:cNvPicPr>
          <a:picLocks noChangeAspect="1"/>
        </xdr:cNvPicPr>
      </xdr:nvPicPr>
      <xdr:blipFill>
        <a:blip xmlns:r="http://schemas.openxmlformats.org/officeDocument/2006/relationships" r:embed="rId247"/>
        <a:stretch>
          <a:fillRect/>
        </a:stretch>
      </xdr:blipFill>
      <xdr:spPr>
        <a:xfrm>
          <a:off x="2510117" y="101200323"/>
          <a:ext cx="3524742" cy="533474"/>
        </a:xfrm>
        <a:prstGeom prst="rect">
          <a:avLst/>
        </a:prstGeom>
      </xdr:spPr>
    </xdr:pic>
    <xdr:clientData/>
  </xdr:twoCellAnchor>
  <xdr:twoCellAnchor editAs="oneCell">
    <xdr:from>
      <xdr:col>1</xdr:col>
      <xdr:colOff>392206</xdr:colOff>
      <xdr:row>537</xdr:row>
      <xdr:rowOff>44824</xdr:rowOff>
    </xdr:from>
    <xdr:to>
      <xdr:col>4</xdr:col>
      <xdr:colOff>1736813</xdr:colOff>
      <xdr:row>540</xdr:row>
      <xdr:rowOff>6798</xdr:rowOff>
    </xdr:to>
    <xdr:pic>
      <xdr:nvPicPr>
        <xdr:cNvPr id="285" name="Picture 284">
          <a:extLst>
            <a:ext uri="{FF2B5EF4-FFF2-40B4-BE49-F238E27FC236}">
              <a16:creationId xmlns:a16="http://schemas.microsoft.com/office/drawing/2014/main" id="{66AC5A1E-5636-C57A-3106-6618BFBED8DA}"/>
            </a:ext>
          </a:extLst>
        </xdr:cNvPr>
        <xdr:cNvPicPr>
          <a:picLocks noChangeAspect="1"/>
        </xdr:cNvPicPr>
      </xdr:nvPicPr>
      <xdr:blipFill>
        <a:blip xmlns:r="http://schemas.openxmlformats.org/officeDocument/2006/relationships" r:embed="rId248"/>
        <a:stretch>
          <a:fillRect/>
        </a:stretch>
      </xdr:blipFill>
      <xdr:spPr>
        <a:xfrm>
          <a:off x="2487706" y="102332118"/>
          <a:ext cx="3305636" cy="533474"/>
        </a:xfrm>
        <a:prstGeom prst="rect">
          <a:avLst/>
        </a:prstGeom>
      </xdr:spPr>
    </xdr:pic>
    <xdr:clientData/>
  </xdr:twoCellAnchor>
  <xdr:twoCellAnchor editAs="oneCell">
    <xdr:from>
      <xdr:col>4</xdr:col>
      <xdr:colOff>190499</xdr:colOff>
      <xdr:row>541</xdr:row>
      <xdr:rowOff>179295</xdr:rowOff>
    </xdr:from>
    <xdr:to>
      <xdr:col>7</xdr:col>
      <xdr:colOff>296793</xdr:colOff>
      <xdr:row>543</xdr:row>
      <xdr:rowOff>11207</xdr:rowOff>
    </xdr:to>
    <xdr:pic>
      <xdr:nvPicPr>
        <xdr:cNvPr id="286" name="Picture 285">
          <a:extLst>
            <a:ext uri="{FF2B5EF4-FFF2-40B4-BE49-F238E27FC236}">
              <a16:creationId xmlns:a16="http://schemas.microsoft.com/office/drawing/2014/main" id="{0AFE6754-25A0-5FAE-7E5C-CE5E41CF37E3}"/>
            </a:ext>
          </a:extLst>
        </xdr:cNvPr>
        <xdr:cNvPicPr>
          <a:picLocks noChangeAspect="1"/>
        </xdr:cNvPicPr>
      </xdr:nvPicPr>
      <xdr:blipFill>
        <a:blip xmlns:r="http://schemas.openxmlformats.org/officeDocument/2006/relationships" r:embed="rId249"/>
        <a:stretch>
          <a:fillRect/>
        </a:stretch>
      </xdr:blipFill>
      <xdr:spPr>
        <a:xfrm>
          <a:off x="4247028" y="103228589"/>
          <a:ext cx="3333589" cy="212912"/>
        </a:xfrm>
        <a:prstGeom prst="rect">
          <a:avLst/>
        </a:prstGeom>
      </xdr:spPr>
    </xdr:pic>
    <xdr:clientData/>
  </xdr:twoCellAnchor>
  <xdr:twoCellAnchor editAs="oneCell">
    <xdr:from>
      <xdr:col>4</xdr:col>
      <xdr:colOff>134470</xdr:colOff>
      <xdr:row>543</xdr:row>
      <xdr:rowOff>156883</xdr:rowOff>
    </xdr:from>
    <xdr:to>
      <xdr:col>7</xdr:col>
      <xdr:colOff>414617</xdr:colOff>
      <xdr:row>545</xdr:row>
      <xdr:rowOff>53874</xdr:rowOff>
    </xdr:to>
    <xdr:pic>
      <xdr:nvPicPr>
        <xdr:cNvPr id="288" name="Picture 287">
          <a:extLst>
            <a:ext uri="{FF2B5EF4-FFF2-40B4-BE49-F238E27FC236}">
              <a16:creationId xmlns:a16="http://schemas.microsoft.com/office/drawing/2014/main" id="{FB7E0097-B740-4310-FD68-5094AEC60220}"/>
            </a:ext>
          </a:extLst>
        </xdr:cNvPr>
        <xdr:cNvPicPr>
          <a:picLocks noChangeAspect="1"/>
        </xdr:cNvPicPr>
      </xdr:nvPicPr>
      <xdr:blipFill>
        <a:blip xmlns:r="http://schemas.openxmlformats.org/officeDocument/2006/relationships" r:embed="rId250"/>
        <a:stretch>
          <a:fillRect/>
        </a:stretch>
      </xdr:blipFill>
      <xdr:spPr>
        <a:xfrm>
          <a:off x="4190999" y="103587177"/>
          <a:ext cx="3507442" cy="289197"/>
        </a:xfrm>
        <a:prstGeom prst="rect">
          <a:avLst/>
        </a:prstGeom>
      </xdr:spPr>
    </xdr:pic>
    <xdr:clientData/>
  </xdr:twoCellAnchor>
  <xdr:twoCellAnchor editAs="oneCell">
    <xdr:from>
      <xdr:col>0</xdr:col>
      <xdr:colOff>1568823</xdr:colOff>
      <xdr:row>547</xdr:row>
      <xdr:rowOff>33618</xdr:rowOff>
    </xdr:from>
    <xdr:to>
      <xdr:col>4</xdr:col>
      <xdr:colOff>734921</xdr:colOff>
      <xdr:row>558</xdr:row>
      <xdr:rowOff>156882</xdr:rowOff>
    </xdr:to>
    <xdr:pic>
      <xdr:nvPicPr>
        <xdr:cNvPr id="289" name="Picture 288">
          <a:extLst>
            <a:ext uri="{FF2B5EF4-FFF2-40B4-BE49-F238E27FC236}">
              <a16:creationId xmlns:a16="http://schemas.microsoft.com/office/drawing/2014/main" id="{C8046E20-CDC5-315A-462C-D1E1B65BC600}"/>
            </a:ext>
          </a:extLst>
        </xdr:cNvPr>
        <xdr:cNvPicPr>
          <a:picLocks noChangeAspect="1"/>
        </xdr:cNvPicPr>
      </xdr:nvPicPr>
      <xdr:blipFill>
        <a:blip xmlns:r="http://schemas.openxmlformats.org/officeDocument/2006/relationships" r:embed="rId251"/>
        <a:stretch>
          <a:fillRect/>
        </a:stretch>
      </xdr:blipFill>
      <xdr:spPr>
        <a:xfrm>
          <a:off x="1568823" y="104237118"/>
          <a:ext cx="3222627" cy="2218764"/>
        </a:xfrm>
        <a:prstGeom prst="rect">
          <a:avLst/>
        </a:prstGeom>
      </xdr:spPr>
    </xdr:pic>
    <xdr:clientData/>
  </xdr:twoCellAnchor>
  <xdr:twoCellAnchor editAs="oneCell">
    <xdr:from>
      <xdr:col>2</xdr:col>
      <xdr:colOff>280146</xdr:colOff>
      <xdr:row>594</xdr:row>
      <xdr:rowOff>33617</xdr:rowOff>
    </xdr:from>
    <xdr:to>
      <xdr:col>5</xdr:col>
      <xdr:colOff>214458</xdr:colOff>
      <xdr:row>600</xdr:row>
      <xdr:rowOff>168088</xdr:rowOff>
    </xdr:to>
    <xdr:pic>
      <xdr:nvPicPr>
        <xdr:cNvPr id="290" name="Picture 289">
          <a:extLst>
            <a:ext uri="{FF2B5EF4-FFF2-40B4-BE49-F238E27FC236}">
              <a16:creationId xmlns:a16="http://schemas.microsoft.com/office/drawing/2014/main" id="{1ADB6721-8F13-737F-E065-92454479F593}"/>
            </a:ext>
          </a:extLst>
        </xdr:cNvPr>
        <xdr:cNvPicPr>
          <a:picLocks noChangeAspect="1"/>
        </xdr:cNvPicPr>
      </xdr:nvPicPr>
      <xdr:blipFill>
        <a:blip xmlns:r="http://schemas.openxmlformats.org/officeDocument/2006/relationships" r:embed="rId252"/>
        <a:stretch>
          <a:fillRect/>
        </a:stretch>
      </xdr:blipFill>
      <xdr:spPr>
        <a:xfrm>
          <a:off x="3036793" y="113179411"/>
          <a:ext cx="3105577" cy="1277471"/>
        </a:xfrm>
        <a:prstGeom prst="rect">
          <a:avLst/>
        </a:prstGeom>
      </xdr:spPr>
    </xdr:pic>
    <xdr:clientData/>
  </xdr:twoCellAnchor>
  <xdr:twoCellAnchor editAs="oneCell">
    <xdr:from>
      <xdr:col>1</xdr:col>
      <xdr:colOff>179293</xdr:colOff>
      <xdr:row>607</xdr:row>
      <xdr:rowOff>44823</xdr:rowOff>
    </xdr:from>
    <xdr:to>
      <xdr:col>5</xdr:col>
      <xdr:colOff>192756</xdr:colOff>
      <xdr:row>609</xdr:row>
      <xdr:rowOff>0</xdr:rowOff>
    </xdr:to>
    <xdr:pic>
      <xdr:nvPicPr>
        <xdr:cNvPr id="291" name="Picture 290">
          <a:extLst>
            <a:ext uri="{FF2B5EF4-FFF2-40B4-BE49-F238E27FC236}">
              <a16:creationId xmlns:a16="http://schemas.microsoft.com/office/drawing/2014/main" id="{281E8C59-2971-F07F-2E7E-560A4481AE9D}"/>
            </a:ext>
          </a:extLst>
        </xdr:cNvPr>
        <xdr:cNvPicPr>
          <a:picLocks noChangeAspect="1"/>
        </xdr:cNvPicPr>
      </xdr:nvPicPr>
      <xdr:blipFill>
        <a:blip xmlns:r="http://schemas.openxmlformats.org/officeDocument/2006/relationships" r:embed="rId253"/>
        <a:stretch>
          <a:fillRect/>
        </a:stretch>
      </xdr:blipFill>
      <xdr:spPr>
        <a:xfrm>
          <a:off x="2274793" y="115667117"/>
          <a:ext cx="3845875" cy="336177"/>
        </a:xfrm>
        <a:prstGeom prst="rect">
          <a:avLst/>
        </a:prstGeom>
      </xdr:spPr>
    </xdr:pic>
    <xdr:clientData/>
  </xdr:twoCellAnchor>
  <xdr:twoCellAnchor editAs="oneCell">
    <xdr:from>
      <xdr:col>1</xdr:col>
      <xdr:colOff>201707</xdr:colOff>
      <xdr:row>610</xdr:row>
      <xdr:rowOff>100853</xdr:rowOff>
    </xdr:from>
    <xdr:to>
      <xdr:col>5</xdr:col>
      <xdr:colOff>336177</xdr:colOff>
      <xdr:row>623</xdr:row>
      <xdr:rowOff>168088</xdr:rowOff>
    </xdr:to>
    <xdr:pic>
      <xdr:nvPicPr>
        <xdr:cNvPr id="292" name="Picture 291">
          <a:extLst>
            <a:ext uri="{FF2B5EF4-FFF2-40B4-BE49-F238E27FC236}">
              <a16:creationId xmlns:a16="http://schemas.microsoft.com/office/drawing/2014/main" id="{725CC5F0-742C-C602-E498-ECFE81AD095C}"/>
            </a:ext>
          </a:extLst>
        </xdr:cNvPr>
        <xdr:cNvPicPr>
          <a:picLocks noChangeAspect="1"/>
        </xdr:cNvPicPr>
      </xdr:nvPicPr>
      <xdr:blipFill>
        <a:blip xmlns:r="http://schemas.openxmlformats.org/officeDocument/2006/relationships" r:embed="rId254"/>
        <a:stretch>
          <a:fillRect/>
        </a:stretch>
      </xdr:blipFill>
      <xdr:spPr>
        <a:xfrm>
          <a:off x="2297207" y="116294647"/>
          <a:ext cx="3966882" cy="2543735"/>
        </a:xfrm>
        <a:prstGeom prst="rect">
          <a:avLst/>
        </a:prstGeom>
      </xdr:spPr>
    </xdr:pic>
    <xdr:clientData/>
  </xdr:twoCellAnchor>
  <xdr:twoCellAnchor editAs="oneCell">
    <xdr:from>
      <xdr:col>11</xdr:col>
      <xdr:colOff>22412</xdr:colOff>
      <xdr:row>67</xdr:row>
      <xdr:rowOff>56030</xdr:rowOff>
    </xdr:from>
    <xdr:to>
      <xdr:col>14</xdr:col>
      <xdr:colOff>246529</xdr:colOff>
      <xdr:row>75</xdr:row>
      <xdr:rowOff>58769</xdr:rowOff>
    </xdr:to>
    <xdr:pic>
      <xdr:nvPicPr>
        <xdr:cNvPr id="293" name="Picture 292">
          <a:extLst>
            <a:ext uri="{FF2B5EF4-FFF2-40B4-BE49-F238E27FC236}">
              <a16:creationId xmlns:a16="http://schemas.microsoft.com/office/drawing/2014/main" id="{93256159-8AF1-1014-00E1-25E1F1DBD55F}"/>
            </a:ext>
          </a:extLst>
        </xdr:cNvPr>
        <xdr:cNvPicPr>
          <a:picLocks noChangeAspect="1"/>
        </xdr:cNvPicPr>
      </xdr:nvPicPr>
      <xdr:blipFill>
        <a:blip xmlns:r="http://schemas.openxmlformats.org/officeDocument/2006/relationships" r:embed="rId255"/>
        <a:stretch>
          <a:fillRect/>
        </a:stretch>
      </xdr:blipFill>
      <xdr:spPr>
        <a:xfrm>
          <a:off x="11127441" y="12819530"/>
          <a:ext cx="2398059" cy="1526739"/>
        </a:xfrm>
        <a:prstGeom prst="rect">
          <a:avLst/>
        </a:prstGeom>
      </xdr:spPr>
    </xdr:pic>
    <xdr:clientData/>
  </xdr:twoCellAnchor>
  <xdr:twoCellAnchor editAs="oneCell">
    <xdr:from>
      <xdr:col>11</xdr:col>
      <xdr:colOff>795618</xdr:colOff>
      <xdr:row>125</xdr:row>
      <xdr:rowOff>100853</xdr:rowOff>
    </xdr:from>
    <xdr:to>
      <xdr:col>14</xdr:col>
      <xdr:colOff>1832049</xdr:colOff>
      <xdr:row>128</xdr:row>
      <xdr:rowOff>24722</xdr:rowOff>
    </xdr:to>
    <xdr:pic>
      <xdr:nvPicPr>
        <xdr:cNvPr id="294" name="Picture 293">
          <a:extLst>
            <a:ext uri="{FF2B5EF4-FFF2-40B4-BE49-F238E27FC236}">
              <a16:creationId xmlns:a16="http://schemas.microsoft.com/office/drawing/2014/main" id="{15FF1FB5-7BF7-D631-51A0-43D977C525E2}"/>
            </a:ext>
          </a:extLst>
        </xdr:cNvPr>
        <xdr:cNvPicPr>
          <a:picLocks noChangeAspect="1"/>
        </xdr:cNvPicPr>
      </xdr:nvPicPr>
      <xdr:blipFill>
        <a:blip xmlns:r="http://schemas.openxmlformats.org/officeDocument/2006/relationships" r:embed="rId256"/>
        <a:stretch>
          <a:fillRect/>
        </a:stretch>
      </xdr:blipFill>
      <xdr:spPr>
        <a:xfrm>
          <a:off x="11900647" y="23913353"/>
          <a:ext cx="3210373" cy="495369"/>
        </a:xfrm>
        <a:prstGeom prst="rect">
          <a:avLst/>
        </a:prstGeom>
      </xdr:spPr>
    </xdr:pic>
    <xdr:clientData/>
  </xdr:twoCellAnchor>
  <xdr:twoCellAnchor editAs="oneCell">
    <xdr:from>
      <xdr:col>11</xdr:col>
      <xdr:colOff>784412</xdr:colOff>
      <xdr:row>133</xdr:row>
      <xdr:rowOff>100853</xdr:rowOff>
    </xdr:from>
    <xdr:to>
      <xdr:col>15</xdr:col>
      <xdr:colOff>29608</xdr:colOff>
      <xdr:row>136</xdr:row>
      <xdr:rowOff>34248</xdr:rowOff>
    </xdr:to>
    <xdr:pic>
      <xdr:nvPicPr>
        <xdr:cNvPr id="295" name="Picture 294">
          <a:extLst>
            <a:ext uri="{FF2B5EF4-FFF2-40B4-BE49-F238E27FC236}">
              <a16:creationId xmlns:a16="http://schemas.microsoft.com/office/drawing/2014/main" id="{2CA867CD-245D-A1D2-CC9E-4DDB391F7B5A}"/>
            </a:ext>
          </a:extLst>
        </xdr:cNvPr>
        <xdr:cNvPicPr>
          <a:picLocks noChangeAspect="1"/>
        </xdr:cNvPicPr>
      </xdr:nvPicPr>
      <xdr:blipFill>
        <a:blip xmlns:r="http://schemas.openxmlformats.org/officeDocument/2006/relationships" r:embed="rId257"/>
        <a:stretch>
          <a:fillRect/>
        </a:stretch>
      </xdr:blipFill>
      <xdr:spPr>
        <a:xfrm>
          <a:off x="11889441" y="25437353"/>
          <a:ext cx="3391373" cy="504895"/>
        </a:xfrm>
        <a:prstGeom prst="rect">
          <a:avLst/>
        </a:prstGeom>
      </xdr:spPr>
    </xdr:pic>
    <xdr:clientData/>
  </xdr:twoCellAnchor>
  <xdr:twoCellAnchor editAs="oneCell">
    <xdr:from>
      <xdr:col>14</xdr:col>
      <xdr:colOff>112059</xdr:colOff>
      <xdr:row>136</xdr:row>
      <xdr:rowOff>179294</xdr:rowOff>
    </xdr:from>
    <xdr:to>
      <xdr:col>16</xdr:col>
      <xdr:colOff>414617</xdr:colOff>
      <xdr:row>140</xdr:row>
      <xdr:rowOff>155834</xdr:rowOff>
    </xdr:to>
    <xdr:pic>
      <xdr:nvPicPr>
        <xdr:cNvPr id="296" name="Picture 295">
          <a:extLst>
            <a:ext uri="{FF2B5EF4-FFF2-40B4-BE49-F238E27FC236}">
              <a16:creationId xmlns:a16="http://schemas.microsoft.com/office/drawing/2014/main" id="{42F1E85D-D07E-6EF6-9BB2-97DD9F0C7B86}"/>
            </a:ext>
          </a:extLst>
        </xdr:cNvPr>
        <xdr:cNvPicPr>
          <a:picLocks noChangeAspect="1"/>
        </xdr:cNvPicPr>
      </xdr:nvPicPr>
      <xdr:blipFill>
        <a:blip xmlns:r="http://schemas.openxmlformats.org/officeDocument/2006/relationships" r:embed="rId258"/>
        <a:stretch>
          <a:fillRect/>
        </a:stretch>
      </xdr:blipFill>
      <xdr:spPr>
        <a:xfrm>
          <a:off x="13391030" y="26087294"/>
          <a:ext cx="3070411" cy="738540"/>
        </a:xfrm>
        <a:prstGeom prst="rect">
          <a:avLst/>
        </a:prstGeom>
      </xdr:spPr>
    </xdr:pic>
    <xdr:clientData/>
  </xdr:twoCellAnchor>
  <xdr:twoCellAnchor editAs="oneCell">
    <xdr:from>
      <xdr:col>14</xdr:col>
      <xdr:colOff>44823</xdr:colOff>
      <xdr:row>147</xdr:row>
      <xdr:rowOff>67235</xdr:rowOff>
    </xdr:from>
    <xdr:to>
      <xdr:col>19</xdr:col>
      <xdr:colOff>483493</xdr:colOff>
      <xdr:row>150</xdr:row>
      <xdr:rowOff>0</xdr:rowOff>
    </xdr:to>
    <xdr:pic>
      <xdr:nvPicPr>
        <xdr:cNvPr id="297" name="Picture 296">
          <a:extLst>
            <a:ext uri="{FF2B5EF4-FFF2-40B4-BE49-F238E27FC236}">
              <a16:creationId xmlns:a16="http://schemas.microsoft.com/office/drawing/2014/main" id="{AEF08A74-A8B0-EDEC-680A-49C0CA64CDCD}"/>
            </a:ext>
          </a:extLst>
        </xdr:cNvPr>
        <xdr:cNvPicPr>
          <a:picLocks noChangeAspect="1"/>
        </xdr:cNvPicPr>
      </xdr:nvPicPr>
      <xdr:blipFill>
        <a:blip xmlns:r="http://schemas.openxmlformats.org/officeDocument/2006/relationships" r:embed="rId259"/>
        <a:stretch>
          <a:fillRect/>
        </a:stretch>
      </xdr:blipFill>
      <xdr:spPr>
        <a:xfrm>
          <a:off x="13323794" y="28070735"/>
          <a:ext cx="5245993" cy="504265"/>
        </a:xfrm>
        <a:prstGeom prst="rect">
          <a:avLst/>
        </a:prstGeom>
      </xdr:spPr>
    </xdr:pic>
    <xdr:clientData/>
  </xdr:twoCellAnchor>
  <xdr:twoCellAnchor editAs="oneCell">
    <xdr:from>
      <xdr:col>13</xdr:col>
      <xdr:colOff>515470</xdr:colOff>
      <xdr:row>155</xdr:row>
      <xdr:rowOff>112059</xdr:rowOff>
    </xdr:from>
    <xdr:to>
      <xdr:col>19</xdr:col>
      <xdr:colOff>358589</xdr:colOff>
      <xdr:row>158</xdr:row>
      <xdr:rowOff>9494</xdr:rowOff>
    </xdr:to>
    <xdr:pic>
      <xdr:nvPicPr>
        <xdr:cNvPr id="301" name="Picture 300">
          <a:extLst>
            <a:ext uri="{FF2B5EF4-FFF2-40B4-BE49-F238E27FC236}">
              <a16:creationId xmlns:a16="http://schemas.microsoft.com/office/drawing/2014/main" id="{CC35A023-C708-A81B-23C3-6D5C98DBC791}"/>
            </a:ext>
          </a:extLst>
        </xdr:cNvPr>
        <xdr:cNvPicPr>
          <a:picLocks noChangeAspect="1"/>
        </xdr:cNvPicPr>
      </xdr:nvPicPr>
      <xdr:blipFill>
        <a:blip xmlns:r="http://schemas.openxmlformats.org/officeDocument/2006/relationships" r:embed="rId260"/>
        <a:stretch>
          <a:fillRect/>
        </a:stretch>
      </xdr:blipFill>
      <xdr:spPr>
        <a:xfrm>
          <a:off x="13133294" y="29639559"/>
          <a:ext cx="5311589" cy="468935"/>
        </a:xfrm>
        <a:prstGeom prst="rect">
          <a:avLst/>
        </a:prstGeom>
      </xdr:spPr>
    </xdr:pic>
    <xdr:clientData/>
  </xdr:twoCellAnchor>
  <xdr:twoCellAnchor editAs="oneCell">
    <xdr:from>
      <xdr:col>14</xdr:col>
      <xdr:colOff>1232647</xdr:colOff>
      <xdr:row>159</xdr:row>
      <xdr:rowOff>179294</xdr:rowOff>
    </xdr:from>
    <xdr:to>
      <xdr:col>18</xdr:col>
      <xdr:colOff>369794</xdr:colOff>
      <xdr:row>163</xdr:row>
      <xdr:rowOff>30343</xdr:rowOff>
    </xdr:to>
    <xdr:pic>
      <xdr:nvPicPr>
        <xdr:cNvPr id="333" name="Picture 332">
          <a:extLst>
            <a:ext uri="{FF2B5EF4-FFF2-40B4-BE49-F238E27FC236}">
              <a16:creationId xmlns:a16="http://schemas.microsoft.com/office/drawing/2014/main" id="{04B7A829-9B01-27D3-165B-C09D8318A1EE}"/>
            </a:ext>
          </a:extLst>
        </xdr:cNvPr>
        <xdr:cNvPicPr>
          <a:picLocks noChangeAspect="1"/>
        </xdr:cNvPicPr>
      </xdr:nvPicPr>
      <xdr:blipFill>
        <a:blip xmlns:r="http://schemas.openxmlformats.org/officeDocument/2006/relationships" r:embed="rId261"/>
        <a:stretch>
          <a:fillRect/>
        </a:stretch>
      </xdr:blipFill>
      <xdr:spPr>
        <a:xfrm>
          <a:off x="14511618" y="30468794"/>
          <a:ext cx="3249705" cy="61304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BE6BFC-1D81-414E-9D4F-88E4245E53E9}">
  <dimension ref="A1:AI658"/>
  <sheetViews>
    <sheetView tabSelected="1" view="pageLayout" topLeftCell="K157" zoomScale="85" zoomScaleNormal="70" zoomScaleSheetLayoutView="100" zoomScalePageLayoutView="85" workbookViewId="0">
      <selection activeCell="M166" sqref="M166"/>
    </sheetView>
  </sheetViews>
  <sheetFormatPr defaultRowHeight="15" x14ac:dyDescent="0.25"/>
  <cols>
    <col min="1" max="1" width="29.28515625" customWidth="1"/>
    <col min="4" max="4" width="8.85546875" customWidth="1"/>
    <col min="5" max="5" width="26.140625" customWidth="1"/>
    <col min="7" max="7" width="9.7109375" bestFit="1" customWidth="1"/>
    <col min="8" max="8" width="10.140625" customWidth="1"/>
    <col min="9" max="10" width="8.7109375" customWidth="1"/>
    <col min="11" max="11" width="25.7109375" customWidth="1"/>
    <col min="12" max="12" width="11.85546875" customWidth="1"/>
    <col min="15" max="15" width="27.5703125" customWidth="1"/>
    <col min="16" max="16" width="11" bestFit="1" customWidth="1"/>
    <col min="17" max="17" width="9.5703125" bestFit="1" customWidth="1"/>
    <col min="19" max="19" width="9.7109375" customWidth="1"/>
    <col min="23" max="23" width="9.42578125" customWidth="1"/>
    <col min="24" max="24" width="10.28515625" customWidth="1"/>
    <col min="27" max="27" width="7" customWidth="1"/>
    <col min="29" max="29" width="7.42578125" customWidth="1"/>
    <col min="30" max="30" width="8.140625" customWidth="1"/>
    <col min="31" max="31" width="8.42578125" customWidth="1"/>
    <col min="32" max="32" width="8.7109375" bestFit="1" customWidth="1"/>
  </cols>
  <sheetData>
    <row r="1" spans="1:21" x14ac:dyDescent="0.25">
      <c r="A1" s="1" t="s">
        <v>0</v>
      </c>
      <c r="E1" s="1" t="s">
        <v>1</v>
      </c>
      <c r="K1" s="54" t="s">
        <v>2</v>
      </c>
      <c r="L1" s="3" t="s">
        <v>3</v>
      </c>
      <c r="M1" s="3" t="s">
        <v>4</v>
      </c>
      <c r="N1" s="3" t="s">
        <v>5</v>
      </c>
      <c r="O1" s="3" t="s">
        <v>6</v>
      </c>
      <c r="P1" s="3" t="s">
        <v>7</v>
      </c>
      <c r="Q1" s="3" t="s">
        <v>8</v>
      </c>
      <c r="R1" s="3" t="s">
        <v>9</v>
      </c>
    </row>
    <row r="2" spans="1:21" x14ac:dyDescent="0.25">
      <c r="A2" s="2" t="s">
        <v>10</v>
      </c>
      <c r="B2" s="3"/>
      <c r="C2" s="2" t="s">
        <v>11</v>
      </c>
      <c r="E2" s="2" t="s">
        <v>10</v>
      </c>
      <c r="F2" s="3"/>
      <c r="G2" s="2" t="s">
        <v>11</v>
      </c>
      <c r="K2" s="3" t="s">
        <v>12</v>
      </c>
      <c r="L2" s="3">
        <v>304</v>
      </c>
      <c r="M2" s="3">
        <v>20</v>
      </c>
      <c r="N2" s="3">
        <v>52</v>
      </c>
      <c r="O2" s="3">
        <v>15</v>
      </c>
      <c r="P2" s="3">
        <v>1.02</v>
      </c>
      <c r="Q2" s="3">
        <v>27.7</v>
      </c>
      <c r="R2" s="3">
        <v>45.2</v>
      </c>
    </row>
    <row r="3" spans="1:21" x14ac:dyDescent="0.25">
      <c r="A3" s="3" t="s">
        <v>13</v>
      </c>
      <c r="B3" s="3">
        <v>17</v>
      </c>
      <c r="C3" s="14"/>
      <c r="E3" s="3" t="s">
        <v>14</v>
      </c>
      <c r="F3" s="3">
        <v>14</v>
      </c>
      <c r="G3" s="3" t="s">
        <v>15</v>
      </c>
      <c r="K3" s="3" t="s">
        <v>16</v>
      </c>
      <c r="L3" s="3">
        <v>304</v>
      </c>
      <c r="M3" s="3">
        <v>20</v>
      </c>
      <c r="N3" s="3">
        <v>52</v>
      </c>
      <c r="O3" s="3">
        <v>15</v>
      </c>
      <c r="P3" s="3">
        <v>1.02</v>
      </c>
      <c r="Q3" s="3">
        <v>27.7</v>
      </c>
      <c r="R3" s="3">
        <v>45.2</v>
      </c>
    </row>
    <row r="4" spans="1:21" x14ac:dyDescent="0.25">
      <c r="A4" s="3" t="s">
        <v>17</v>
      </c>
      <c r="B4" s="3">
        <v>1600</v>
      </c>
      <c r="E4" s="3" t="s">
        <v>18</v>
      </c>
      <c r="F4" s="3">
        <v>14</v>
      </c>
      <c r="G4" s="3" t="s">
        <v>19</v>
      </c>
      <c r="K4" s="3" t="s">
        <v>20</v>
      </c>
      <c r="L4" s="3" t="s">
        <v>21</v>
      </c>
      <c r="M4" s="3">
        <v>30</v>
      </c>
      <c r="N4" s="3">
        <v>55</v>
      </c>
      <c r="O4" s="3">
        <v>13</v>
      </c>
      <c r="P4" s="3">
        <v>1.02</v>
      </c>
      <c r="Q4" s="3">
        <v>34.799999999999997</v>
      </c>
      <c r="R4" s="3">
        <v>49.3</v>
      </c>
    </row>
    <row r="5" spans="1:21" x14ac:dyDescent="0.25">
      <c r="A5" s="3" t="s">
        <v>22</v>
      </c>
      <c r="B5" s="3">
        <v>80</v>
      </c>
      <c r="E5" s="3" t="s">
        <v>23</v>
      </c>
      <c r="F5" s="3">
        <v>22</v>
      </c>
      <c r="G5" s="3" t="s">
        <v>24</v>
      </c>
      <c r="K5" s="3" t="s">
        <v>25</v>
      </c>
      <c r="L5" s="3">
        <v>1308</v>
      </c>
      <c r="M5" s="3">
        <v>40</v>
      </c>
      <c r="N5" s="3">
        <v>90</v>
      </c>
      <c r="O5" s="3">
        <v>23</v>
      </c>
      <c r="P5" s="3">
        <v>1.52</v>
      </c>
      <c r="Q5" s="3">
        <v>49</v>
      </c>
      <c r="R5" s="3">
        <v>81.3</v>
      </c>
    </row>
    <row r="6" spans="1:21" x14ac:dyDescent="0.25">
      <c r="A6" s="3" t="s">
        <v>26</v>
      </c>
      <c r="B6" s="3">
        <v>85</v>
      </c>
      <c r="E6" s="3" t="s">
        <v>27</v>
      </c>
      <c r="F6" s="3">
        <v>1.5</v>
      </c>
      <c r="G6" s="3" t="s">
        <v>28</v>
      </c>
      <c r="K6" s="3" t="s">
        <v>29</v>
      </c>
      <c r="L6" s="3">
        <v>207</v>
      </c>
      <c r="M6" s="3">
        <v>35</v>
      </c>
      <c r="N6" s="3">
        <v>72</v>
      </c>
      <c r="O6" s="3">
        <v>17</v>
      </c>
      <c r="P6" s="3">
        <v>1.02</v>
      </c>
      <c r="Q6" s="3">
        <v>42.4</v>
      </c>
      <c r="R6" s="3">
        <v>65</v>
      </c>
    </row>
    <row r="7" spans="1:21" x14ac:dyDescent="0.25">
      <c r="A7" s="3" t="s">
        <v>30</v>
      </c>
      <c r="B7" s="3">
        <v>14000</v>
      </c>
      <c r="K7" s="3" t="s">
        <v>31</v>
      </c>
      <c r="L7" s="3">
        <v>207</v>
      </c>
      <c r="M7" s="3">
        <v>35</v>
      </c>
      <c r="N7" s="3">
        <v>72</v>
      </c>
      <c r="O7" s="3">
        <v>17</v>
      </c>
      <c r="P7" s="3">
        <v>1.02</v>
      </c>
      <c r="Q7" s="3">
        <v>42.4</v>
      </c>
      <c r="R7" s="3">
        <v>65</v>
      </c>
    </row>
    <row r="9" spans="1:21" x14ac:dyDescent="0.25">
      <c r="A9" s="1" t="s">
        <v>32</v>
      </c>
      <c r="E9" s="1" t="s">
        <v>33</v>
      </c>
    </row>
    <row r="10" spans="1:21" x14ac:dyDescent="0.25">
      <c r="A10" s="3" t="s">
        <v>34</v>
      </c>
      <c r="B10" s="3">
        <v>3</v>
      </c>
      <c r="E10" s="5"/>
      <c r="F10" s="6" t="s">
        <v>35</v>
      </c>
      <c r="G10" s="4">
        <v>1.4</v>
      </c>
      <c r="U10" t="s">
        <v>36</v>
      </c>
    </row>
    <row r="11" spans="1:21" x14ac:dyDescent="0.25">
      <c r="A11" s="3" t="s">
        <v>37</v>
      </c>
      <c r="B11" s="3">
        <v>2</v>
      </c>
      <c r="E11" s="9" t="s">
        <v>38</v>
      </c>
      <c r="F11" s="4" t="s">
        <v>39</v>
      </c>
      <c r="G11" s="4">
        <v>0.81399999999999995</v>
      </c>
      <c r="U11" t="s">
        <v>40</v>
      </c>
    </row>
    <row r="12" spans="1:21" x14ac:dyDescent="0.25">
      <c r="A12" s="3" t="s">
        <v>41</v>
      </c>
      <c r="B12" s="3">
        <v>5</v>
      </c>
      <c r="E12" s="95" t="s">
        <v>42</v>
      </c>
      <c r="F12" s="96"/>
      <c r="G12" s="97"/>
    </row>
    <row r="13" spans="1:21" x14ac:dyDescent="0.25">
      <c r="A13" s="3" t="s">
        <v>43</v>
      </c>
      <c r="B13" s="3">
        <v>2</v>
      </c>
      <c r="E13" s="7"/>
      <c r="F13" s="8" t="s">
        <v>44</v>
      </c>
      <c r="G13" s="4">
        <v>1.6</v>
      </c>
    </row>
    <row r="14" spans="1:21" x14ac:dyDescent="0.25">
      <c r="E14" s="9" t="s">
        <v>45</v>
      </c>
      <c r="F14" s="12" t="s">
        <v>46</v>
      </c>
      <c r="G14" s="3">
        <v>1</v>
      </c>
    </row>
    <row r="15" spans="1:21" x14ac:dyDescent="0.25">
      <c r="A15" t="s">
        <v>47</v>
      </c>
    </row>
    <row r="16" spans="1:21" x14ac:dyDescent="0.25">
      <c r="A16" t="s">
        <v>48</v>
      </c>
    </row>
    <row r="17" spans="1:18" x14ac:dyDescent="0.25">
      <c r="A17" t="s">
        <v>500</v>
      </c>
    </row>
    <row r="18" spans="1:18" x14ac:dyDescent="0.25">
      <c r="A18" s="98"/>
      <c r="B18" s="98"/>
      <c r="C18" s="98"/>
      <c r="E18" s="3" t="s">
        <v>49</v>
      </c>
      <c r="F18" s="3">
        <f>B5/B4</f>
        <v>0.05</v>
      </c>
    </row>
    <row r="19" spans="1:18" x14ac:dyDescent="0.25">
      <c r="A19" s="98"/>
      <c r="B19" s="98"/>
      <c r="C19" s="98"/>
      <c r="E19" s="3" t="s">
        <v>50</v>
      </c>
      <c r="F19" s="3">
        <f>1/F18</f>
        <v>20</v>
      </c>
    </row>
    <row r="21" spans="1:18" x14ac:dyDescent="0.25">
      <c r="A21" t="s">
        <v>51</v>
      </c>
    </row>
    <row r="22" spans="1:18" x14ac:dyDescent="0.25">
      <c r="D22" s="94" t="s">
        <v>52</v>
      </c>
    </row>
    <row r="23" spans="1:18" x14ac:dyDescent="0.25">
      <c r="D23" s="94"/>
      <c r="K23" s="54" t="s">
        <v>2</v>
      </c>
      <c r="L23" s="3" t="s">
        <v>3</v>
      </c>
      <c r="M23" s="3" t="s">
        <v>53</v>
      </c>
      <c r="N23" s="3" t="s">
        <v>54</v>
      </c>
      <c r="O23" s="3" t="s">
        <v>55</v>
      </c>
      <c r="P23" s="3" t="s">
        <v>56</v>
      </c>
      <c r="Q23" s="3" t="s">
        <v>57</v>
      </c>
      <c r="R23" s="3" t="s">
        <v>58</v>
      </c>
    </row>
    <row r="24" spans="1:18" x14ac:dyDescent="0.25">
      <c r="A24" t="s">
        <v>59</v>
      </c>
      <c r="K24" s="3" t="s">
        <v>12</v>
      </c>
      <c r="L24" s="3">
        <v>303</v>
      </c>
      <c r="M24" s="25">
        <f t="shared" ref="M24:R24" si="0">M2/25.4</f>
        <v>0.78740157480314965</v>
      </c>
      <c r="N24" s="25">
        <f t="shared" si="0"/>
        <v>2.0472440944881889</v>
      </c>
      <c r="O24" s="25">
        <f t="shared" si="0"/>
        <v>0.59055118110236227</v>
      </c>
      <c r="P24" s="25">
        <f t="shared" si="0"/>
        <v>4.0157480314960636E-2</v>
      </c>
      <c r="Q24" s="25">
        <f t="shared" si="0"/>
        <v>1.0905511811023623</v>
      </c>
      <c r="R24" s="25">
        <f t="shared" si="0"/>
        <v>1.7795275590551183</v>
      </c>
    </row>
    <row r="25" spans="1:18" x14ac:dyDescent="0.25">
      <c r="B25" s="94" t="s">
        <v>60</v>
      </c>
      <c r="K25" s="3" t="s">
        <v>16</v>
      </c>
      <c r="L25" s="3">
        <v>303</v>
      </c>
      <c r="M25" s="25">
        <f t="shared" ref="M25:R29" si="1">M3/25.4</f>
        <v>0.78740157480314965</v>
      </c>
      <c r="N25" s="25">
        <f t="shared" si="1"/>
        <v>2.0472440944881889</v>
      </c>
      <c r="O25" s="25">
        <f t="shared" si="1"/>
        <v>0.59055118110236227</v>
      </c>
      <c r="P25" s="25">
        <f t="shared" si="1"/>
        <v>4.0157480314960636E-2</v>
      </c>
      <c r="Q25" s="25">
        <f t="shared" si="1"/>
        <v>1.0905511811023623</v>
      </c>
      <c r="R25" s="25">
        <f t="shared" si="1"/>
        <v>1.7795275590551183</v>
      </c>
    </row>
    <row r="26" spans="1:18" x14ac:dyDescent="0.25">
      <c r="B26" s="94"/>
      <c r="K26" s="3" t="s">
        <v>20</v>
      </c>
      <c r="L26" s="3" t="s">
        <v>21</v>
      </c>
      <c r="M26" s="25">
        <f t="shared" si="1"/>
        <v>1.1811023622047245</v>
      </c>
      <c r="N26" s="25">
        <f t="shared" si="1"/>
        <v>2.1653543307086616</v>
      </c>
      <c r="O26" s="25">
        <f t="shared" si="1"/>
        <v>0.51181102362204722</v>
      </c>
      <c r="P26" s="25">
        <f t="shared" si="1"/>
        <v>4.0157480314960636E-2</v>
      </c>
      <c r="Q26" s="25">
        <f t="shared" si="1"/>
        <v>1.3700787401574803</v>
      </c>
      <c r="R26" s="25">
        <f t="shared" si="1"/>
        <v>1.9409448818897639</v>
      </c>
    </row>
    <row r="27" spans="1:18" x14ac:dyDescent="0.25">
      <c r="K27" s="3" t="s">
        <v>25</v>
      </c>
      <c r="L27" s="3">
        <v>309</v>
      </c>
      <c r="M27" s="25">
        <f t="shared" si="1"/>
        <v>1.5748031496062993</v>
      </c>
      <c r="N27" s="25">
        <f t="shared" si="1"/>
        <v>3.5433070866141736</v>
      </c>
      <c r="O27" s="25">
        <f t="shared" si="1"/>
        <v>0.9055118110236221</v>
      </c>
      <c r="P27" s="25">
        <f t="shared" si="1"/>
        <v>5.9842519685039376E-2</v>
      </c>
      <c r="Q27" s="25">
        <f t="shared" si="1"/>
        <v>1.9291338582677167</v>
      </c>
      <c r="R27" s="25">
        <f t="shared" si="1"/>
        <v>3.2007874015748032</v>
      </c>
    </row>
    <row r="28" spans="1:18" x14ac:dyDescent="0.25">
      <c r="A28" t="s">
        <v>61</v>
      </c>
      <c r="E28" s="3" t="s">
        <v>62</v>
      </c>
      <c r="F28" s="3">
        <f>SQRT(F18)</f>
        <v>0.22360679774997896</v>
      </c>
      <c r="K28" s="3" t="s">
        <v>29</v>
      </c>
      <c r="L28" s="3">
        <v>207</v>
      </c>
      <c r="M28" s="25">
        <f t="shared" si="1"/>
        <v>1.3779527559055118</v>
      </c>
      <c r="N28" s="25">
        <f t="shared" si="1"/>
        <v>2.8346456692913389</v>
      </c>
      <c r="O28" s="25">
        <f t="shared" si="1"/>
        <v>0.6692913385826772</v>
      </c>
      <c r="P28" s="25">
        <f t="shared" si="1"/>
        <v>4.0157480314960636E-2</v>
      </c>
      <c r="Q28" s="25">
        <f t="shared" si="1"/>
        <v>1.6692913385826773</v>
      </c>
      <c r="R28" s="25">
        <f t="shared" si="1"/>
        <v>2.5590551181102366</v>
      </c>
    </row>
    <row r="29" spans="1:18" x14ac:dyDescent="0.25">
      <c r="E29" s="3" t="s">
        <v>63</v>
      </c>
      <c r="F29" s="3">
        <f>SQRT(F19)</f>
        <v>4.4721359549995796</v>
      </c>
      <c r="K29" s="3" t="s">
        <v>31</v>
      </c>
      <c r="L29" s="3">
        <v>207</v>
      </c>
      <c r="M29" s="25">
        <f t="shared" si="1"/>
        <v>1.3779527559055118</v>
      </c>
      <c r="N29" s="25">
        <f t="shared" si="1"/>
        <v>2.8346456692913389</v>
      </c>
      <c r="O29" s="25">
        <f t="shared" si="1"/>
        <v>0.6692913385826772</v>
      </c>
      <c r="P29" s="25">
        <f t="shared" si="1"/>
        <v>4.0157480314960636E-2</v>
      </c>
      <c r="Q29" s="25">
        <f t="shared" si="1"/>
        <v>1.6692913385826773</v>
      </c>
      <c r="R29" s="25">
        <f>R7/25.4</f>
        <v>2.5590551181102366</v>
      </c>
    </row>
    <row r="32" spans="1:18" x14ac:dyDescent="0.25">
      <c r="K32" t="s">
        <v>64</v>
      </c>
    </row>
    <row r="34" spans="1:35" x14ac:dyDescent="0.25">
      <c r="K34" t="s">
        <v>65</v>
      </c>
      <c r="U34" s="1" t="s">
        <v>66</v>
      </c>
    </row>
    <row r="35" spans="1:35" x14ac:dyDescent="0.25">
      <c r="A35" t="s">
        <v>67</v>
      </c>
      <c r="Q35" s="91" t="s">
        <v>68</v>
      </c>
      <c r="R35" s="91"/>
      <c r="S35" s="3" t="s">
        <v>69</v>
      </c>
      <c r="T35" s="3" t="s">
        <v>70</v>
      </c>
      <c r="U35" s="3" t="s">
        <v>71</v>
      </c>
      <c r="V35" s="3" t="s">
        <v>72</v>
      </c>
      <c r="W35" s="3" t="s">
        <v>73</v>
      </c>
      <c r="X35" s="3" t="s">
        <v>74</v>
      </c>
      <c r="Y35" s="3" t="s">
        <v>75</v>
      </c>
      <c r="Z35" s="3" t="s">
        <v>76</v>
      </c>
      <c r="AA35" s="3" t="s">
        <v>77</v>
      </c>
      <c r="AB35" s="3" t="s">
        <v>78</v>
      </c>
      <c r="AC35" s="3" t="s">
        <v>79</v>
      </c>
      <c r="AD35" s="3" t="s">
        <v>80</v>
      </c>
      <c r="AE35" s="3" t="s">
        <v>81</v>
      </c>
      <c r="AF35" s="3" t="s">
        <v>82</v>
      </c>
      <c r="AG35" s="3" t="s">
        <v>83</v>
      </c>
      <c r="AH35" s="77" t="s">
        <v>84</v>
      </c>
      <c r="AI35" s="77" t="s">
        <v>85</v>
      </c>
    </row>
    <row r="36" spans="1:35" x14ac:dyDescent="0.25">
      <c r="Q36" s="101" t="s">
        <v>86</v>
      </c>
      <c r="R36" s="101"/>
      <c r="S36" s="13" t="s">
        <v>87</v>
      </c>
      <c r="T36" s="3">
        <f>I284</f>
        <v>4</v>
      </c>
      <c r="U36" s="3" t="s">
        <v>88</v>
      </c>
      <c r="V36" s="3">
        <f>AD36/2</f>
        <v>2.920275590551181</v>
      </c>
      <c r="W36" s="3">
        <f>$AD36-V36</f>
        <v>2.920275590551181</v>
      </c>
      <c r="X36" s="3">
        <f>T39+(T36+T37)/2</f>
        <v>3.045275590551181</v>
      </c>
      <c r="Y36" s="3">
        <f>$AD36-X36</f>
        <v>2.795275590551181</v>
      </c>
      <c r="Z36" s="22"/>
      <c r="AA36" s="22">
        <f>$AD36-Z36</f>
        <v>5.840551181102362</v>
      </c>
      <c r="AB36" s="22"/>
      <c r="AC36" s="22">
        <f>$AD36-AB36</f>
        <v>5.840551181102362</v>
      </c>
      <c r="AD36" s="3">
        <f>T36+T40+T39+(T37+T38)/2</f>
        <v>5.840551181102362</v>
      </c>
      <c r="AE36" s="3">
        <f>N589</f>
        <v>0.28399999999999997</v>
      </c>
      <c r="AF36" s="21">
        <f>S266</f>
        <v>0.78740157480314965</v>
      </c>
      <c r="AG36" s="22"/>
      <c r="AH36" s="3">
        <f>PI()/4*(AF36^2)*AD36*AE36</f>
        <v>0.80770842614304184</v>
      </c>
      <c r="AI36" s="22"/>
    </row>
    <row r="37" spans="1:35" x14ac:dyDescent="0.25">
      <c r="E37" s="11" t="s">
        <v>89</v>
      </c>
      <c r="H37" s="3" t="s">
        <v>90</v>
      </c>
      <c r="I37" s="3">
        <v>20</v>
      </c>
      <c r="Q37" s="101" t="s">
        <v>91</v>
      </c>
      <c r="R37" s="101"/>
      <c r="S37" s="13" t="s">
        <v>72</v>
      </c>
      <c r="T37" s="25">
        <f>O24</f>
        <v>0.59055118110236227</v>
      </c>
      <c r="U37" s="3" t="s">
        <v>92</v>
      </c>
      <c r="V37" s="3">
        <f>(T39+T36+T49/2+T48/4)/2</f>
        <v>2.9729330708661421</v>
      </c>
      <c r="W37" s="3">
        <f>$AD37-V37</f>
        <v>10.995570866141732</v>
      </c>
      <c r="X37" s="3">
        <f>T39+(T49+T36)/2</f>
        <v>3.0059055118110236</v>
      </c>
      <c r="Y37" s="3">
        <f>$AD37-X37</f>
        <v>10.96259842519685</v>
      </c>
      <c r="Z37" s="3">
        <f>2*V37+(T46+T36+T50/2+3*T48/4)/2</f>
        <v>9.9571850393700796</v>
      </c>
      <c r="AA37" s="3">
        <f>$AD37-Z37</f>
        <v>4.0113188976377945</v>
      </c>
      <c r="AB37" s="3">
        <f>T39+T48+(T50+3*T36+T49)/2</f>
        <v>11.218503937007874</v>
      </c>
      <c r="AC37" s="3">
        <f>$AD37-AB37</f>
        <v>2.75</v>
      </c>
      <c r="AD37" s="3">
        <f>T39+2*T36+T48+T46+(T49+T50)/2</f>
        <v>13.968503937007874</v>
      </c>
      <c r="AE37" s="3">
        <f>AE36</f>
        <v>0.28399999999999997</v>
      </c>
      <c r="AF37" s="21">
        <f>S267</f>
        <v>1.1811023622047245</v>
      </c>
      <c r="AG37" s="21">
        <f>S268</f>
        <v>2.1653543307086616</v>
      </c>
      <c r="AH37" s="3">
        <f>PI()/4*(AF37^2)*(2*V37)*AE37</f>
        <v>1.8501137268693568</v>
      </c>
      <c r="AI37" s="3">
        <f>PI()/4*(AF37^2)*(AD37-2*V37)*AE37</f>
        <v>2.4963213023857178</v>
      </c>
    </row>
    <row r="38" spans="1:35" x14ac:dyDescent="0.25">
      <c r="H38" s="3" t="s">
        <v>93</v>
      </c>
      <c r="I38" s="3">
        <f>I37*PI()/180</f>
        <v>0.3490658503988659</v>
      </c>
      <c r="Q38" s="101" t="s">
        <v>94</v>
      </c>
      <c r="R38" s="101"/>
      <c r="S38" s="13" t="s">
        <v>95</v>
      </c>
      <c r="T38" s="25">
        <f>O25</f>
        <v>0.59055118110236227</v>
      </c>
      <c r="U38" s="3" t="s">
        <v>96</v>
      </c>
      <c r="V38" s="3">
        <f>AD38/2</f>
        <v>2.9596456692913384</v>
      </c>
      <c r="W38" s="3">
        <f>$AD38-V38</f>
        <v>2.9596456692913384</v>
      </c>
      <c r="X38" s="3">
        <f>T45+(T36+T43)/2</f>
        <v>2.8346456692913384</v>
      </c>
      <c r="Y38" s="3">
        <f>$AD38-X38</f>
        <v>3.0846456692913384</v>
      </c>
      <c r="Z38" s="22"/>
      <c r="AA38" s="22">
        <f>$AD38-Z38</f>
        <v>5.9192913385826769</v>
      </c>
      <c r="AB38" s="22"/>
      <c r="AC38" s="22">
        <f>$AD38-AB38</f>
        <v>5.9192913385826769</v>
      </c>
      <c r="AD38" s="3">
        <f>T45+T46+T36+(T44+T43)/2</f>
        <v>5.9192913385826769</v>
      </c>
      <c r="AE38" s="3">
        <f>AE37</f>
        <v>0.28399999999999997</v>
      </c>
      <c r="AF38" s="21">
        <f>S269</f>
        <v>1.3779527559055118</v>
      </c>
      <c r="AG38" s="22"/>
      <c r="AH38" s="3">
        <f>PI()/4*(AF38^2)*AD38*AE38</f>
        <v>2.5069553133045628</v>
      </c>
      <c r="AI38" s="22"/>
    </row>
    <row r="39" spans="1:35" x14ac:dyDescent="0.25">
      <c r="H39" s="3" t="s">
        <v>97</v>
      </c>
      <c r="I39" s="3">
        <f>(2/(1+2*(F29)*(SIN(I38)^2)))*(F29+SQRT((F29^2)+(1+2*(F29))*(SIN(I38)^2)))</f>
        <v>8.8672962378380955</v>
      </c>
      <c r="Q39" s="101" t="s">
        <v>98</v>
      </c>
      <c r="R39" s="101"/>
      <c r="S39" s="13" t="s">
        <v>99</v>
      </c>
      <c r="T39" s="3">
        <v>0.75</v>
      </c>
      <c r="AD39" t="s">
        <v>100</v>
      </c>
      <c r="AE39" t="s">
        <v>101</v>
      </c>
      <c r="AF39" t="s">
        <v>100</v>
      </c>
      <c r="AG39" t="s">
        <v>100</v>
      </c>
      <c r="AH39" t="s">
        <v>102</v>
      </c>
      <c r="AI39" t="s">
        <v>102</v>
      </c>
    </row>
    <row r="40" spans="1:35" x14ac:dyDescent="0.25">
      <c r="H40" s="3" t="s">
        <v>103</v>
      </c>
      <c r="I40" s="3">
        <f>F29*I39</f>
        <v>39.655754328868248</v>
      </c>
      <c r="Q40" s="101" t="s">
        <v>104</v>
      </c>
      <c r="R40" s="101"/>
      <c r="S40" s="13" t="s">
        <v>105</v>
      </c>
      <c r="T40" s="3">
        <v>0.5</v>
      </c>
      <c r="U40" s="1" t="s">
        <v>88</v>
      </c>
    </row>
    <row r="41" spans="1:35" x14ac:dyDescent="0.25">
      <c r="Q41" s="101" t="s">
        <v>106</v>
      </c>
      <c r="R41" s="101"/>
      <c r="S41" s="13" t="s">
        <v>107</v>
      </c>
      <c r="T41" s="3">
        <v>0.25</v>
      </c>
    </row>
    <row r="42" spans="1:35" x14ac:dyDescent="0.25">
      <c r="Q42" s="101" t="s">
        <v>108</v>
      </c>
      <c r="R42" s="101"/>
      <c r="S42" s="13" t="s">
        <v>109</v>
      </c>
      <c r="T42" s="3">
        <v>1.5</v>
      </c>
      <c r="AA42" s="1" t="s">
        <v>92</v>
      </c>
    </row>
    <row r="43" spans="1:35" x14ac:dyDescent="0.25">
      <c r="G43" t="s">
        <v>110</v>
      </c>
      <c r="Q43" s="101" t="s">
        <v>111</v>
      </c>
      <c r="R43" s="101"/>
      <c r="S43" s="13" t="s">
        <v>24</v>
      </c>
      <c r="T43" s="25">
        <f>O28</f>
        <v>0.6692913385826772</v>
      </c>
    </row>
    <row r="44" spans="1:35" x14ac:dyDescent="0.25">
      <c r="Q44" s="101" t="s">
        <v>112</v>
      </c>
      <c r="R44" s="101"/>
      <c r="S44" s="13" t="s">
        <v>113</v>
      </c>
      <c r="T44" s="25">
        <f>O29</f>
        <v>0.6692913385826772</v>
      </c>
    </row>
    <row r="45" spans="1:35" x14ac:dyDescent="0.25">
      <c r="Q45" s="101" t="s">
        <v>114</v>
      </c>
      <c r="R45" s="101"/>
      <c r="S45" s="13" t="s">
        <v>115</v>
      </c>
      <c r="T45" s="3">
        <v>0.5</v>
      </c>
    </row>
    <row r="46" spans="1:35" x14ac:dyDescent="0.25">
      <c r="Q46" s="101" t="s">
        <v>116</v>
      </c>
      <c r="R46" s="101"/>
      <c r="S46" s="13" t="s">
        <v>117</v>
      </c>
      <c r="T46" s="3">
        <v>0.75</v>
      </c>
    </row>
    <row r="47" spans="1:35" x14ac:dyDescent="0.25">
      <c r="A47" t="s">
        <v>118</v>
      </c>
      <c r="B47" t="s">
        <v>119</v>
      </c>
      <c r="E47" t="s">
        <v>59</v>
      </c>
      <c r="Q47" s="101" t="s">
        <v>120</v>
      </c>
      <c r="R47" s="101"/>
      <c r="S47" s="13" t="s">
        <v>80</v>
      </c>
      <c r="T47" s="3">
        <v>0.25</v>
      </c>
    </row>
    <row r="48" spans="1:35" x14ac:dyDescent="0.25">
      <c r="Q48" s="101" t="s">
        <v>121</v>
      </c>
      <c r="R48" s="101"/>
      <c r="S48" s="13" t="s">
        <v>122</v>
      </c>
      <c r="T48" s="25">
        <f>T40+T38+T42+T43+T45</f>
        <v>3.7598425196850394</v>
      </c>
      <c r="U48" s="1" t="s">
        <v>96</v>
      </c>
    </row>
    <row r="49" spans="1:35" x14ac:dyDescent="0.25">
      <c r="Q49" s="101" t="s">
        <v>123</v>
      </c>
      <c r="R49" s="101"/>
      <c r="S49" s="13" t="s">
        <v>74</v>
      </c>
      <c r="T49" s="25">
        <f>O26</f>
        <v>0.51181102362204722</v>
      </c>
    </row>
    <row r="50" spans="1:35" x14ac:dyDescent="0.25">
      <c r="Q50" s="101" t="s">
        <v>124</v>
      </c>
      <c r="R50" s="101"/>
      <c r="S50" s="13" t="s">
        <v>125</v>
      </c>
      <c r="T50" s="25">
        <f>O27</f>
        <v>0.9055118110236221</v>
      </c>
    </row>
    <row r="51" spans="1:35" x14ac:dyDescent="0.25">
      <c r="G51" s="3" t="s">
        <v>126</v>
      </c>
      <c r="H51" s="3"/>
      <c r="I51" s="3">
        <f>B4*(ROUND(I39,0)/ROUND(I40,0))*(ROUND(I39,0)/ROUND(I40,0))</f>
        <v>81</v>
      </c>
      <c r="J51" s="3" t="s">
        <v>127</v>
      </c>
      <c r="Q51" s="1" t="s">
        <v>128</v>
      </c>
      <c r="AC51" t="s">
        <v>129</v>
      </c>
    </row>
    <row r="52" spans="1:35" x14ac:dyDescent="0.25">
      <c r="A52" t="s">
        <v>130</v>
      </c>
      <c r="Q52" s="3" t="s">
        <v>131</v>
      </c>
      <c r="R52" s="101" t="s">
        <v>132</v>
      </c>
      <c r="S52" s="101"/>
      <c r="AG52" s="1" t="s">
        <v>133</v>
      </c>
    </row>
    <row r="53" spans="1:35" x14ac:dyDescent="0.25">
      <c r="A53" t="s">
        <v>501</v>
      </c>
      <c r="Q53" s="3" t="s">
        <v>134</v>
      </c>
      <c r="R53" s="101" t="s">
        <v>135</v>
      </c>
      <c r="S53" s="101"/>
      <c r="AG53" s="3" t="s">
        <v>136</v>
      </c>
      <c r="AH53" s="3">
        <f>Q282</f>
        <v>4.6281550273603127</v>
      </c>
      <c r="AI53" s="3" t="s">
        <v>102</v>
      </c>
    </row>
    <row r="54" spans="1:35" x14ac:dyDescent="0.25">
      <c r="E54" s="3" t="s">
        <v>49</v>
      </c>
      <c r="F54" s="3">
        <f>I51/B4</f>
        <v>5.0625000000000003E-2</v>
      </c>
      <c r="Q54" s="3" t="s">
        <v>137</v>
      </c>
      <c r="R54" s="101" t="s">
        <v>138</v>
      </c>
      <c r="S54" s="101"/>
      <c r="AG54" s="3" t="s">
        <v>139</v>
      </c>
      <c r="AH54" s="3">
        <f>R282</f>
        <v>91.420346219462971</v>
      </c>
      <c r="AI54" s="3" t="s">
        <v>102</v>
      </c>
    </row>
    <row r="55" spans="1:35" x14ac:dyDescent="0.25">
      <c r="E55" s="3" t="s">
        <v>50</v>
      </c>
      <c r="F55" s="3">
        <f>1/F54</f>
        <v>19.753086419753085</v>
      </c>
      <c r="Q55" s="3" t="s">
        <v>140</v>
      </c>
      <c r="R55" s="101" t="s">
        <v>141</v>
      </c>
      <c r="S55" s="101"/>
      <c r="AG55" s="3" t="s">
        <v>142</v>
      </c>
      <c r="AH55" s="3">
        <f>AH53</f>
        <v>4.6281550273603127</v>
      </c>
      <c r="AI55" s="3" t="s">
        <v>102</v>
      </c>
    </row>
    <row r="56" spans="1:35" x14ac:dyDescent="0.25">
      <c r="AG56" s="3" t="s">
        <v>143</v>
      </c>
      <c r="AH56" s="3">
        <f>AH54</f>
        <v>91.420346219462971</v>
      </c>
      <c r="AI56" s="3" t="s">
        <v>102</v>
      </c>
    </row>
    <row r="57" spans="1:35" x14ac:dyDescent="0.25">
      <c r="A57" t="s">
        <v>51</v>
      </c>
      <c r="Q57" s="1"/>
    </row>
    <row r="58" spans="1:35" x14ac:dyDescent="0.25">
      <c r="D58" s="94" t="s">
        <v>52</v>
      </c>
    </row>
    <row r="59" spans="1:35" x14ac:dyDescent="0.25">
      <c r="D59" s="94"/>
    </row>
    <row r="60" spans="1:35" x14ac:dyDescent="0.25">
      <c r="A60" t="s">
        <v>59</v>
      </c>
    </row>
    <row r="61" spans="1:35" x14ac:dyDescent="0.25">
      <c r="B61" s="94" t="s">
        <v>60</v>
      </c>
      <c r="AC61" s="1" t="s">
        <v>92</v>
      </c>
      <c r="AG61" s="1" t="s">
        <v>144</v>
      </c>
    </row>
    <row r="62" spans="1:35" x14ac:dyDescent="0.25">
      <c r="B62" s="94"/>
    </row>
    <row r="64" spans="1:35" x14ac:dyDescent="0.25">
      <c r="A64" t="s">
        <v>61</v>
      </c>
      <c r="E64" s="3" t="s">
        <v>62</v>
      </c>
      <c r="F64" s="3">
        <f>SQRT(F54)</f>
        <v>0.22500000000000001</v>
      </c>
    </row>
    <row r="65" spans="1:35" x14ac:dyDescent="0.25">
      <c r="E65" s="3" t="s">
        <v>63</v>
      </c>
      <c r="F65" s="3">
        <f>SQRT(F55)</f>
        <v>4.4444444444444446</v>
      </c>
      <c r="AG65" t="s">
        <v>145</v>
      </c>
      <c r="AH65">
        <f>N591</f>
        <v>29000</v>
      </c>
      <c r="AI65" t="s">
        <v>146</v>
      </c>
    </row>
    <row r="67" spans="1:35" x14ac:dyDescent="0.25">
      <c r="K67" t="s">
        <v>147</v>
      </c>
      <c r="U67" s="1" t="s">
        <v>148</v>
      </c>
      <c r="AC67" s="3"/>
      <c r="AD67" s="3" t="s">
        <v>149</v>
      </c>
      <c r="AE67" s="3" t="s">
        <v>150</v>
      </c>
      <c r="AF67" s="3" t="s">
        <v>151</v>
      </c>
      <c r="AG67" s="3" t="s">
        <v>152</v>
      </c>
    </row>
    <row r="68" spans="1:35" x14ac:dyDescent="0.25">
      <c r="Q68" t="s">
        <v>153</v>
      </c>
      <c r="R68" t="s">
        <v>154</v>
      </c>
      <c r="U68" s="54" t="s">
        <v>88</v>
      </c>
      <c r="V68" s="3" t="s">
        <v>155</v>
      </c>
      <c r="W68" s="3" t="s">
        <v>156</v>
      </c>
      <c r="X68" s="3" t="s">
        <v>157</v>
      </c>
      <c r="Y68" s="3" t="s">
        <v>158</v>
      </c>
      <c r="Z68" s="3" t="s">
        <v>159</v>
      </c>
      <c r="AA68" s="3"/>
      <c r="AC68" s="3" t="s">
        <v>88</v>
      </c>
      <c r="AD68" s="3">
        <f>AH36</f>
        <v>0.80770842614304184</v>
      </c>
      <c r="AE68" s="3">
        <f>AH53</f>
        <v>4.6281550273603127</v>
      </c>
      <c r="AF68" s="22"/>
      <c r="AG68" s="22"/>
    </row>
    <row r="69" spans="1:35" x14ac:dyDescent="0.25">
      <c r="Q69" s="3">
        <v>1</v>
      </c>
      <c r="R69" s="3">
        <f>H432</f>
        <v>669.640625</v>
      </c>
      <c r="S69" s="3" t="s">
        <v>160</v>
      </c>
      <c r="U69" s="61" t="s">
        <v>161</v>
      </c>
      <c r="V69" s="78">
        <f>AD68*W36*V36/AD73*((AD36^2)-(V36^2)-(W36^2))</f>
        <v>6.1266329949386971E-6</v>
      </c>
      <c r="W69" s="78">
        <f>AE68*Y36*V36/AD73*((AD36^2)-(V36^2)-(Y36^2))</f>
        <v>3.5010395200121853E-5</v>
      </c>
      <c r="X69" s="22"/>
      <c r="Y69" s="22"/>
      <c r="Z69" s="20">
        <f>SUM(V69:Y69)</f>
        <v>4.1137028195060554E-5</v>
      </c>
      <c r="AA69" s="3" t="s">
        <v>100</v>
      </c>
      <c r="AC69" s="3" t="s">
        <v>92</v>
      </c>
      <c r="AD69" s="3">
        <f>AH37</f>
        <v>1.8501137268693568</v>
      </c>
      <c r="AE69" s="3">
        <f>AH54</f>
        <v>91.420346219462971</v>
      </c>
      <c r="AF69" s="3">
        <f>AI37</f>
        <v>2.4963213023857178</v>
      </c>
      <c r="AG69" s="3">
        <f>AH55</f>
        <v>4.6281550273603127</v>
      </c>
    </row>
    <row r="70" spans="1:35" x14ac:dyDescent="0.25">
      <c r="Q70" s="3">
        <v>2</v>
      </c>
      <c r="R70" s="3">
        <f t="shared" ref="R70:R71" si="2">H433</f>
        <v>2976.1805555555557</v>
      </c>
      <c r="S70" s="3" t="s">
        <v>160</v>
      </c>
      <c r="U70" s="61" t="s">
        <v>162</v>
      </c>
      <c r="V70" s="78">
        <f>AD68*V36*X36/AD73*((AD36^2)-(X36^2)-(V36^2))</f>
        <v>6.1095549472016261E-6</v>
      </c>
      <c r="W70" s="78">
        <f>AE68*Y36*X36/AD73*((AD36^2)-(X36^2)-(Y36^2))</f>
        <v>3.497697635206928E-5</v>
      </c>
      <c r="X70" s="22"/>
      <c r="Y70" s="22"/>
      <c r="Z70" s="20">
        <f t="shared" ref="Z70:Z78" si="3">SUM(V70:Y70)</f>
        <v>4.1086531299270908E-5</v>
      </c>
      <c r="AA70" s="3" t="s">
        <v>100</v>
      </c>
      <c r="AC70" s="3" t="s">
        <v>96</v>
      </c>
      <c r="AD70" s="3">
        <f>AH56</f>
        <v>91.420346219462971</v>
      </c>
      <c r="AE70" s="3">
        <f>AH38</f>
        <v>2.5069553133045628</v>
      </c>
      <c r="AF70" s="22"/>
      <c r="AG70" s="22"/>
    </row>
    <row r="71" spans="1:35" x14ac:dyDescent="0.25">
      <c r="A71" t="s">
        <v>67</v>
      </c>
      <c r="Q71" s="3">
        <v>3</v>
      </c>
      <c r="R71" s="3">
        <f t="shared" si="2"/>
        <v>13227.469135802468</v>
      </c>
      <c r="S71" s="3" t="s">
        <v>160</v>
      </c>
      <c r="U71" s="79" t="s">
        <v>92</v>
      </c>
      <c r="V71" s="3"/>
      <c r="W71" s="3"/>
      <c r="X71" s="3"/>
      <c r="Y71" s="3"/>
      <c r="Z71" s="20"/>
      <c r="AA71" s="3"/>
    </row>
    <row r="72" spans="1:35" x14ac:dyDescent="0.25">
      <c r="U72" s="61" t="s">
        <v>161</v>
      </c>
      <c r="V72" s="78">
        <f>AD69*W37*$V$37/$AD$74*(($AD$37^2)-($V$37^2)-(W37^2))</f>
        <v>1.7030015968130553E-5</v>
      </c>
      <c r="W72" s="78">
        <f>AE69*Y37*$V$37/$AD$74*(($AD$37^2)-($V$37^2)-(Y37^2))</f>
        <v>8.4827811968371427E-4</v>
      </c>
      <c r="X72" s="78">
        <f>AF69*AA37*$V$37/$AD$74*(($AD$37^2)-($V$37^2)-(AA37^2))</f>
        <v>2.1821664948548087E-5</v>
      </c>
      <c r="Y72" s="78">
        <f>AG69*AC37*$V$37/$AD$74*(($AD$37^2)-($V$37^2)-(AC37^2))</f>
        <v>2.9125640496350367E-5</v>
      </c>
      <c r="Z72" s="20">
        <f t="shared" si="3"/>
        <v>9.1625544109674327E-4</v>
      </c>
      <c r="AA72" s="3" t="s">
        <v>100</v>
      </c>
      <c r="AC72" s="3"/>
      <c r="AD72" s="3" t="s">
        <v>163</v>
      </c>
      <c r="AE72" s="3" t="s">
        <v>163</v>
      </c>
      <c r="AG72" s="3" t="s">
        <v>164</v>
      </c>
      <c r="AH72" s="3">
        <v>386</v>
      </c>
      <c r="AI72" s="3" t="s">
        <v>165</v>
      </c>
    </row>
    <row r="73" spans="1:35" x14ac:dyDescent="0.25">
      <c r="E73" s="11" t="s">
        <v>89</v>
      </c>
      <c r="H73" s="3" t="s">
        <v>90</v>
      </c>
      <c r="I73" s="3">
        <v>20</v>
      </c>
      <c r="U73" s="61" t="s">
        <v>162</v>
      </c>
      <c r="V73" s="78">
        <f>AD69*V37*$X$37/$AD$74*(($AD$37^2)-($X$37^2)-(V37^2))</f>
        <v>1.2621600338330609E-5</v>
      </c>
      <c r="W73" s="78">
        <f>AE69*Y37*$X$37/$AD$74*(($AD$37^2)-($X$37^2)-(Y37^2))</f>
        <v>8.5512838813377949E-4</v>
      </c>
      <c r="X73" s="78">
        <f>AF69*AA37*$X$37/$AD$74*(($AD$37^2)-($X$37^2)-(AA37^2))</f>
        <v>2.2038129284606917E-5</v>
      </c>
      <c r="Y73" s="78">
        <f>AG69*AC37*$X$37/$AD$74*(($AD$37^2)-($X$37^2)-(AC37^2))</f>
        <v>2.9416185813596691E-5</v>
      </c>
      <c r="Z73" s="20">
        <f t="shared" si="3"/>
        <v>9.1920430357031371E-4</v>
      </c>
      <c r="AA73" s="3" t="s">
        <v>100</v>
      </c>
      <c r="AC73" s="3" t="s">
        <v>88</v>
      </c>
      <c r="AD73" s="78">
        <f>6*$AH$65*PI()/64*AD36*(AF36^4)*1000</f>
        <v>19176003.363518905</v>
      </c>
      <c r="AE73" s="22"/>
    </row>
    <row r="74" spans="1:35" x14ac:dyDescent="0.25">
      <c r="H74" s="3" t="s">
        <v>93</v>
      </c>
      <c r="I74" s="3">
        <f>I73*PI()/180</f>
        <v>0.3490658503988659</v>
      </c>
      <c r="U74" s="61" t="s">
        <v>166</v>
      </c>
      <c r="V74" s="78">
        <f>AD69*V37*$Z$37/$AE$74*(($AD$37^2)-($Z$37^2)-(V37^2))</f>
        <v>1.8194034780814401E-6</v>
      </c>
      <c r="W74" s="78">
        <f>AE69*X37*$Z$37/$AE$74*(($AD$37^2)-($Z$37^2)-(X37^2))</f>
        <v>9.0694296806064761E-5</v>
      </c>
      <c r="X74" s="78">
        <f>AF69*AA37*$Z$37/$AE$74*(($AD$37^2)-($Z$37^2)-(AA37^2))</f>
        <v>3.0366384048537697E-6</v>
      </c>
      <c r="Y74" s="78">
        <f>AG69*AC37*$Z$37/$AE$74*(($AD$37^2)-($Z$37^2)-(AC37^2))</f>
        <v>4.2716816102380621E-6</v>
      </c>
      <c r="Z74" s="20">
        <f t="shared" si="3"/>
        <v>9.982202029923802E-5</v>
      </c>
      <c r="AA74" s="3" t="s">
        <v>100</v>
      </c>
      <c r="AC74" s="3" t="s">
        <v>92</v>
      </c>
      <c r="AD74" s="78">
        <f>6*$AH$65*PI()/64*AD37*(AF37^4)*1000</f>
        <v>232176999.26840979</v>
      </c>
      <c r="AE74" s="78">
        <f>6*$AH$65*PI()/64*AD37*(AG37^4)*1000</f>
        <v>2622919325.8401136</v>
      </c>
    </row>
    <row r="75" spans="1:35" x14ac:dyDescent="0.25">
      <c r="H75" s="3" t="s">
        <v>97</v>
      </c>
      <c r="I75" s="3">
        <f>I39</f>
        <v>8.8672962378380955</v>
      </c>
      <c r="U75" s="61" t="s">
        <v>167</v>
      </c>
      <c r="V75" s="78">
        <f>AD69*V37*$AB$37/$AE$74*(($AD$37^2)-($AB$37^2)-(V37^2))</f>
        <v>1.4215331396146856E-6</v>
      </c>
      <c r="W75" s="78">
        <f>AE69*X37*$AB$37/$AE$74*(($AD$37^2)-($AB$37^2)-(X37^2))</f>
        <v>7.0790085229800368E-5</v>
      </c>
      <c r="X75" s="78">
        <f>AF69*Z37*$AB$37/$AE$74*(($AD$37^2)-($AB$37^2)-(Z37^2))</f>
        <v>-3.1767717463056828E-6</v>
      </c>
      <c r="Y75" s="78">
        <f>AG69*AC37*$AB$37/$AE$74*(($AD$37^2)-($AB$37^2)-(AC37^2))</f>
        <v>3.3588316555862418E-6</v>
      </c>
      <c r="Z75" s="20">
        <f t="shared" si="3"/>
        <v>7.2393678278695616E-5</v>
      </c>
      <c r="AA75" s="3" t="s">
        <v>100</v>
      </c>
      <c r="AC75" s="3" t="s">
        <v>96</v>
      </c>
      <c r="AD75" s="78">
        <f>6*$AH$65*PI()/64*AD38*(AF38^4)*1000</f>
        <v>182274608.34275645</v>
      </c>
      <c r="AE75" s="22"/>
    </row>
    <row r="76" spans="1:35" x14ac:dyDescent="0.25">
      <c r="H76" s="3" t="s">
        <v>103</v>
      </c>
      <c r="I76" s="3">
        <f>F65*I75</f>
        <v>39.410205501502645</v>
      </c>
      <c r="U76" s="79" t="s">
        <v>96</v>
      </c>
      <c r="V76" s="3"/>
      <c r="W76" s="3"/>
      <c r="X76" s="3"/>
      <c r="Y76" s="3"/>
      <c r="Z76" s="20"/>
      <c r="AA76" s="3"/>
      <c r="AC76" s="3"/>
      <c r="AD76" s="3" t="s">
        <v>168</v>
      </c>
      <c r="AE76" s="3" t="s">
        <v>169</v>
      </c>
    </row>
    <row r="77" spans="1:35" x14ac:dyDescent="0.25">
      <c r="K77" s="76" t="s">
        <v>170</v>
      </c>
      <c r="U77" s="61" t="s">
        <v>161</v>
      </c>
      <c r="V77" s="78">
        <f>AD70*W38*V38/AD75*((AD38^2)-(V38^2)-(W38^2))</f>
        <v>7.6967178136561935E-5</v>
      </c>
      <c r="W77" s="78">
        <f>AE70*Y38*V38/AD75*((AD38^2)-(V38^2)-(Y38^2))</f>
        <v>2.1048895281949125E-6</v>
      </c>
      <c r="X77" s="22"/>
      <c r="Y77" s="22"/>
      <c r="Z77" s="20">
        <f t="shared" si="3"/>
        <v>7.9072067664756845E-5</v>
      </c>
      <c r="AA77" s="3" t="s">
        <v>100</v>
      </c>
    </row>
    <row r="78" spans="1:35" x14ac:dyDescent="0.25">
      <c r="K78" s="1" t="s">
        <v>171</v>
      </c>
      <c r="L78" s="1"/>
      <c r="M78" s="1"/>
      <c r="N78" s="1"/>
      <c r="O78" s="1" t="s">
        <v>172</v>
      </c>
      <c r="P78" s="1"/>
      <c r="Q78" s="1"/>
      <c r="R78" s="1"/>
      <c r="S78" s="1"/>
      <c r="T78" s="1"/>
      <c r="U78" s="61" t="s">
        <v>162</v>
      </c>
      <c r="V78" s="78">
        <f>AD70*V38*X38/AD75*((AD38^2)-(X38^2)-(V38^2))</f>
        <v>7.6764138956336006E-5</v>
      </c>
      <c r="W78" s="78">
        <f>AE70*Y38*X38/AD75*((AD38^2)-(X38^2)-(Y38^2))</f>
        <v>2.1030933135514689E-6</v>
      </c>
      <c r="X78" s="22"/>
      <c r="Y78" s="22"/>
      <c r="Z78" s="20">
        <f t="shared" si="3"/>
        <v>7.8867232269887476E-5</v>
      </c>
      <c r="AA78" s="3" t="s">
        <v>100</v>
      </c>
    </row>
    <row r="79" spans="1:35" x14ac:dyDescent="0.25">
      <c r="AF79" s="1" t="s">
        <v>88</v>
      </c>
    </row>
    <row r="80" spans="1:35" x14ac:dyDescent="0.25">
      <c r="H80" s="3" t="s">
        <v>173</v>
      </c>
      <c r="I80" s="3">
        <v>9</v>
      </c>
      <c r="U80" s="80" t="s">
        <v>92</v>
      </c>
    </row>
    <row r="81" spans="1:32" x14ac:dyDescent="0.25">
      <c r="H81" s="3" t="s">
        <v>174</v>
      </c>
      <c r="I81" s="3">
        <v>40</v>
      </c>
    </row>
    <row r="83" spans="1:32" x14ac:dyDescent="0.25">
      <c r="A83" t="s">
        <v>118</v>
      </c>
      <c r="B83" t="s">
        <v>119</v>
      </c>
      <c r="E83" t="s">
        <v>59</v>
      </c>
    </row>
    <row r="87" spans="1:32" x14ac:dyDescent="0.25">
      <c r="A87" t="s">
        <v>175</v>
      </c>
      <c r="G87" s="3" t="s">
        <v>126</v>
      </c>
      <c r="H87" s="3"/>
      <c r="I87" s="3">
        <f>B4*(I80/I81)*(I80/I81)</f>
        <v>81</v>
      </c>
      <c r="J87" s="3" t="s">
        <v>127</v>
      </c>
    </row>
    <row r="89" spans="1:32" x14ac:dyDescent="0.25">
      <c r="AF89" s="1" t="s">
        <v>96</v>
      </c>
    </row>
    <row r="90" spans="1:32" x14ac:dyDescent="0.25">
      <c r="A90" t="s">
        <v>176</v>
      </c>
    </row>
    <row r="91" spans="1:32" x14ac:dyDescent="0.25">
      <c r="G91" s="3" t="s">
        <v>177</v>
      </c>
      <c r="H91" s="3"/>
      <c r="I91" s="3">
        <f>I87/(I80/I81)</f>
        <v>360</v>
      </c>
      <c r="J91" s="3" t="s">
        <v>127</v>
      </c>
    </row>
    <row r="92" spans="1:32" x14ac:dyDescent="0.25">
      <c r="B92" t="s">
        <v>178</v>
      </c>
    </row>
    <row r="94" spans="1:32" x14ac:dyDescent="0.25">
      <c r="K94" s="1" t="s">
        <v>179</v>
      </c>
    </row>
    <row r="95" spans="1:32" x14ac:dyDescent="0.25">
      <c r="A95" t="s">
        <v>180</v>
      </c>
      <c r="K95" s="3" t="s">
        <v>181</v>
      </c>
      <c r="L95" s="56">
        <f>T39+(T36+T37)/2</f>
        <v>3.045275590551181</v>
      </c>
      <c r="M95" s="3" t="s">
        <v>100</v>
      </c>
      <c r="O95" s="1" t="s">
        <v>182</v>
      </c>
    </row>
    <row r="96" spans="1:32" x14ac:dyDescent="0.25">
      <c r="G96" s="91" t="s">
        <v>183</v>
      </c>
      <c r="H96" s="91"/>
      <c r="I96" s="3">
        <f>(I81+(I80/2)+(I81/2)+2)/(F5-3)</f>
        <v>3.5</v>
      </c>
      <c r="J96" s="3" t="s">
        <v>184</v>
      </c>
      <c r="K96" s="3" t="s">
        <v>185</v>
      </c>
      <c r="L96" s="21">
        <f>T40+(T36+T38)/2</f>
        <v>2.795275590551181</v>
      </c>
      <c r="M96" s="3" t="s">
        <v>100</v>
      </c>
      <c r="O96" s="3" t="s">
        <v>186</v>
      </c>
      <c r="P96" s="21">
        <f>T39+(T36+T49)/2</f>
        <v>3.0059055118110236</v>
      </c>
      <c r="Q96" s="3" t="s">
        <v>100</v>
      </c>
    </row>
    <row r="97" spans="1:31" x14ac:dyDescent="0.25">
      <c r="G97" s="3" t="s">
        <v>187</v>
      </c>
      <c r="H97" s="3"/>
      <c r="I97" s="3">
        <v>4</v>
      </c>
      <c r="J97" s="3" t="s">
        <v>184</v>
      </c>
      <c r="K97" s="3" t="s">
        <v>188</v>
      </c>
      <c r="L97" s="21">
        <f>T45+(T43+T36)/2</f>
        <v>2.8346456692913384</v>
      </c>
      <c r="M97" s="3" t="s">
        <v>100</v>
      </c>
      <c r="O97" s="3" t="s">
        <v>189</v>
      </c>
      <c r="P97" s="21">
        <f>T46+(T36+T50)/2</f>
        <v>3.2027559055118111</v>
      </c>
      <c r="Q97" s="3" t="s">
        <v>100</v>
      </c>
    </row>
    <row r="98" spans="1:31" x14ac:dyDescent="0.25">
      <c r="K98" s="3" t="s">
        <v>190</v>
      </c>
      <c r="L98" s="56">
        <f>T46+(T36+T44)/2</f>
        <v>3.0846456692913384</v>
      </c>
      <c r="M98" s="3" t="s">
        <v>100</v>
      </c>
    </row>
    <row r="99" spans="1:31" x14ac:dyDescent="0.25">
      <c r="A99" t="s">
        <v>504</v>
      </c>
      <c r="K99" s="3" t="s">
        <v>191</v>
      </c>
      <c r="L99" s="21">
        <f>T36+T48</f>
        <v>7.7598425196850389</v>
      </c>
      <c r="M99" s="3" t="s">
        <v>100</v>
      </c>
    </row>
    <row r="100" spans="1:31" x14ac:dyDescent="0.25">
      <c r="P100" s="1" t="s">
        <v>192</v>
      </c>
    </row>
    <row r="101" spans="1:31" x14ac:dyDescent="0.25">
      <c r="A101" t="s">
        <v>193</v>
      </c>
      <c r="P101" s="3" t="s">
        <v>194</v>
      </c>
      <c r="Q101" s="3">
        <f>G375-Q103</f>
        <v>284.88037471265176</v>
      </c>
      <c r="R101" s="3" t="s">
        <v>195</v>
      </c>
    </row>
    <row r="102" spans="1:31" x14ac:dyDescent="0.25">
      <c r="H102" s="3" t="s">
        <v>196</v>
      </c>
      <c r="I102" s="3">
        <f>I80/I97</f>
        <v>2.25</v>
      </c>
      <c r="J102" s="3" t="s">
        <v>100</v>
      </c>
      <c r="P102" s="3" t="s">
        <v>197</v>
      </c>
      <c r="Q102" s="3">
        <f>0-G376-Q104</f>
        <v>-103.68797672200738</v>
      </c>
      <c r="R102" s="3" t="s">
        <v>195</v>
      </c>
    </row>
    <row r="103" spans="1:31" x14ac:dyDescent="0.25">
      <c r="H103" s="3" t="s">
        <v>198</v>
      </c>
      <c r="I103" s="3">
        <f>I81/I97</f>
        <v>10</v>
      </c>
      <c r="J103" s="3" t="s">
        <v>100</v>
      </c>
      <c r="P103" s="3" t="s">
        <v>199</v>
      </c>
      <c r="Q103" s="3">
        <f>(G375*L95)/(L95+L96)</f>
        <v>310.35911245103688</v>
      </c>
      <c r="R103" s="3" t="s">
        <v>195</v>
      </c>
      <c r="U103" s="1" t="s">
        <v>200</v>
      </c>
    </row>
    <row r="104" spans="1:31" x14ac:dyDescent="0.25">
      <c r="H104" t="s">
        <v>498</v>
      </c>
      <c r="I104">
        <f>I102/2</f>
        <v>1.125</v>
      </c>
      <c r="P104" s="3" t="s">
        <v>201</v>
      </c>
      <c r="Q104" s="3">
        <f>(0-G376*L95)/(L95+L96)</f>
        <v>-112.96147886545451</v>
      </c>
      <c r="R104" s="3" t="s">
        <v>195</v>
      </c>
      <c r="X104" s="1" t="s">
        <v>202</v>
      </c>
    </row>
    <row r="105" spans="1:31" x14ac:dyDescent="0.25">
      <c r="A105" t="s">
        <v>203</v>
      </c>
      <c r="H105" t="s">
        <v>499</v>
      </c>
      <c r="I105">
        <f>I103/2</f>
        <v>5</v>
      </c>
      <c r="P105" s="3" t="s">
        <v>204</v>
      </c>
      <c r="Q105" s="3">
        <f>0-G375+I375-Q107</f>
        <v>139.42420594515829</v>
      </c>
      <c r="R105" s="3" t="s">
        <v>195</v>
      </c>
    </row>
    <row r="106" spans="1:31" x14ac:dyDescent="0.25">
      <c r="A106" t="s">
        <v>205</v>
      </c>
      <c r="F106" t="s">
        <v>206</v>
      </c>
      <c r="I106" s="64">
        <f>F6+I105+I104+0.05+I105+I105+F6</f>
        <v>19.175000000000001</v>
      </c>
      <c r="J106" s="3" t="s">
        <v>100</v>
      </c>
      <c r="P106" s="3" t="s">
        <v>207</v>
      </c>
      <c r="Q106" s="3">
        <f>I376+G376-Q108</f>
        <v>390.80286128540638</v>
      </c>
      <c r="R106" s="3" t="s">
        <v>195</v>
      </c>
      <c r="V106" s="1" t="s">
        <v>208</v>
      </c>
      <c r="AA106" s="1" t="s">
        <v>209</v>
      </c>
    </row>
    <row r="107" spans="1:31" x14ac:dyDescent="0.25">
      <c r="P107" s="3" t="s">
        <v>210</v>
      </c>
      <c r="Q107" s="3">
        <f>((0-G375*P96)+(I375*(P96+L99)))/(P96+L99+P97)</f>
        <v>1910.8451387297689</v>
      </c>
      <c r="R107" s="3" t="s">
        <v>195</v>
      </c>
      <c r="U107" s="3"/>
      <c r="V107" s="3" t="s">
        <v>211</v>
      </c>
      <c r="W107" s="3"/>
      <c r="X107" s="3" t="s">
        <v>212</v>
      </c>
      <c r="Y107" s="3"/>
      <c r="AA107" s="3"/>
      <c r="AB107" s="3" t="s">
        <v>149</v>
      </c>
      <c r="AC107" s="3" t="s">
        <v>150</v>
      </c>
      <c r="AD107" s="3" t="s">
        <v>151</v>
      </c>
      <c r="AE107" s="3" t="s">
        <v>152</v>
      </c>
    </row>
    <row r="108" spans="1:31" x14ac:dyDescent="0.25">
      <c r="P108" s="3" t="s">
        <v>213</v>
      </c>
      <c r="Q108" s="3">
        <f>((G376*P96)+(I376*(P96+L99)))/(P96+L99+P97)</f>
        <v>788.73306357966385</v>
      </c>
      <c r="R108" s="3" t="s">
        <v>195</v>
      </c>
      <c r="U108" s="3" t="s">
        <v>88</v>
      </c>
      <c r="V108" s="3">
        <f>30/PI()*SQRT(($AH$72*(AD68*Z69+AE68*Z70))/(AD68*(Z69^2)+AE68*(Z70^2)))</f>
        <v>29266.824405239284</v>
      </c>
      <c r="W108" s="3" t="s">
        <v>127</v>
      </c>
      <c r="X108" s="3">
        <f>B4</f>
        <v>1600</v>
      </c>
      <c r="Y108" s="3" t="s">
        <v>127</v>
      </c>
      <c r="AA108" s="3" t="s">
        <v>88</v>
      </c>
      <c r="AB108" s="78">
        <f>30/PI()*SQRT($AH$72/V69)</f>
        <v>75797.363853688774</v>
      </c>
      <c r="AC108" s="78">
        <f>30/PI()*SQRT($AH$72/W70)</f>
        <v>31722.974540314171</v>
      </c>
      <c r="AD108" s="22"/>
      <c r="AE108" s="22"/>
    </row>
    <row r="109" spans="1:31" x14ac:dyDescent="0.25">
      <c r="A109" t="s">
        <v>214</v>
      </c>
      <c r="P109" s="3" t="s">
        <v>215</v>
      </c>
      <c r="Q109" s="25">
        <f>0-I375-Q111</f>
        <v>-1378.6206649454975</v>
      </c>
      <c r="R109" s="3" t="s">
        <v>195</v>
      </c>
      <c r="U109" s="3" t="s">
        <v>92</v>
      </c>
      <c r="V109" s="3">
        <f>30/PI()*SQRT(($AH$72*(AD69*Z72+AE69*Z73+AF69*Z74+AG69*Z75))/(AD69*(Z72^2)+AE69*(Z73^2)+AF69*(Z74^2)+AG69*(Z75^2)))</f>
        <v>6207.4361017661058</v>
      </c>
      <c r="W109" s="3" t="s">
        <v>127</v>
      </c>
      <c r="X109" s="3">
        <f>I91</f>
        <v>360</v>
      </c>
      <c r="Y109" s="3" t="s">
        <v>127</v>
      </c>
      <c r="AA109" s="3" t="s">
        <v>92</v>
      </c>
      <c r="AB109" s="78">
        <f>30/PI()*SQRT($AH$72/V72)</f>
        <v>45462.938900340589</v>
      </c>
      <c r="AC109" s="78">
        <f>30/PI()*SQRT($AH$72/W73)</f>
        <v>6415.7786541866535</v>
      </c>
      <c r="AD109" s="78">
        <f>30/PI()*SQRT($AH$72/X74)</f>
        <v>107663.50003602114</v>
      </c>
      <c r="AE109" s="3">
        <f>30/PI()*SQRT($AH$72/V69)</f>
        <v>75797.363853688774</v>
      </c>
    </row>
    <row r="110" spans="1:31" x14ac:dyDescent="0.25">
      <c r="H110" s="3" t="s">
        <v>216</v>
      </c>
      <c r="I110" s="3">
        <f>33000*B3/((PI()*I102*B4)/12)</f>
        <v>595.23948716368864</v>
      </c>
      <c r="J110" s="3" t="s">
        <v>195</v>
      </c>
      <c r="P110" s="3" t="s">
        <v>217</v>
      </c>
      <c r="Q110" s="3">
        <f>0-I376-Q112</f>
        <v>-501.77688638444039</v>
      </c>
      <c r="R110" s="3" t="s">
        <v>195</v>
      </c>
      <c r="U110" s="3" t="s">
        <v>96</v>
      </c>
      <c r="V110" s="3">
        <f>30/PI()*SQRT(($AH$72*(AD70*Z77+AE70*Z78))/(AD70*(Z77^2)+AE70*(Z78^2)))</f>
        <v>21099.320208837766</v>
      </c>
      <c r="W110" s="3" t="s">
        <v>127</v>
      </c>
      <c r="X110" s="3">
        <f>I87</f>
        <v>81</v>
      </c>
      <c r="Y110" s="3" t="s">
        <v>127</v>
      </c>
      <c r="AA110" s="3" t="s">
        <v>96</v>
      </c>
      <c r="AB110" s="78">
        <f>30/PI()*SQRT($AH$72/V77)</f>
        <v>21385.147607471536</v>
      </c>
      <c r="AC110" s="78">
        <f>30/PI()*SQRT($AH$72/W78)</f>
        <v>129370.65085292792</v>
      </c>
      <c r="AD110" s="22"/>
      <c r="AE110" s="22"/>
    </row>
    <row r="111" spans="1:31" x14ac:dyDescent="0.25">
      <c r="H111" s="3" t="s">
        <v>218</v>
      </c>
      <c r="I111" s="3">
        <f>33000*B3/((PI()*I103*I87)/12)</f>
        <v>2645.5088318386161</v>
      </c>
      <c r="J111" s="3" t="s">
        <v>195</v>
      </c>
      <c r="P111" s="3" t="s">
        <v>219</v>
      </c>
      <c r="Q111" s="3">
        <f>(0-I375*L97)/(L97+L98)</f>
        <v>-1266.8881668931185</v>
      </c>
      <c r="R111" s="3" t="s">
        <v>195</v>
      </c>
    </row>
    <row r="112" spans="1:31" x14ac:dyDescent="0.25">
      <c r="P112" s="3" t="s">
        <v>220</v>
      </c>
      <c r="Q112" s="3">
        <f>(0-I376*L97)/(L97+L98)</f>
        <v>-461.10958289316801</v>
      </c>
      <c r="R112" s="3" t="s">
        <v>195</v>
      </c>
      <c r="V112" s="1" t="s">
        <v>221</v>
      </c>
      <c r="AA112" s="1" t="s">
        <v>222</v>
      </c>
    </row>
    <row r="113" spans="1:31" x14ac:dyDescent="0.25">
      <c r="H113" s="3" t="s">
        <v>223</v>
      </c>
      <c r="I113" s="3">
        <f>I110*TAN(I74)</f>
        <v>216.64945558746189</v>
      </c>
      <c r="J113" s="3" t="s">
        <v>195</v>
      </c>
      <c r="U113" s="3"/>
      <c r="V113" s="3" t="s">
        <v>211</v>
      </c>
      <c r="W113" s="3"/>
      <c r="X113" s="3" t="s">
        <v>212</v>
      </c>
      <c r="Y113" s="3"/>
      <c r="AA113" s="3"/>
      <c r="AB113" s="3" t="s">
        <v>149</v>
      </c>
      <c r="AC113" s="3" t="s">
        <v>150</v>
      </c>
      <c r="AD113" s="3" t="s">
        <v>151</v>
      </c>
      <c r="AE113" s="3" t="s">
        <v>152</v>
      </c>
    </row>
    <row r="114" spans="1:31" x14ac:dyDescent="0.25">
      <c r="H114" s="3" t="s">
        <v>224</v>
      </c>
      <c r="I114" s="3">
        <f>I111*TAN(I74)</f>
        <v>962.8864692776084</v>
      </c>
      <c r="J114" s="3" t="s">
        <v>195</v>
      </c>
      <c r="P114" s="1" t="s">
        <v>225</v>
      </c>
      <c r="U114" s="3" t="s">
        <v>88</v>
      </c>
      <c r="V114" s="3">
        <f>SQRT(1/(SUM(AB114,AC114)))</f>
        <v>29263.418259190406</v>
      </c>
      <c r="W114" s="3" t="s">
        <v>127</v>
      </c>
      <c r="X114" s="3">
        <f>X108</f>
        <v>1600</v>
      </c>
      <c r="Y114" s="3" t="s">
        <v>127</v>
      </c>
      <c r="AA114" s="3" t="s">
        <v>88</v>
      </c>
      <c r="AB114" s="78">
        <f>1/(AB108^2)</f>
        <v>1.7405712138948249E-10</v>
      </c>
      <c r="AC114" s="78">
        <f t="shared" ref="AC114" si="4">1/(AC108^2)</f>
        <v>9.9369291808054485E-10</v>
      </c>
      <c r="AD114" s="81"/>
      <c r="AE114" s="81"/>
    </row>
    <row r="115" spans="1:31" x14ac:dyDescent="0.25">
      <c r="P115" s="3" t="s">
        <v>73</v>
      </c>
      <c r="Q115" s="3">
        <f>SQRT(((Q101)^2)+((Q102)^2))</f>
        <v>303.1633625838129</v>
      </c>
      <c r="R115" s="3" t="s">
        <v>195</v>
      </c>
      <c r="U115" s="3" t="s">
        <v>92</v>
      </c>
      <c r="V115" s="3">
        <f>SQRT(1/(SUM(AB115,AC115,AD115,AE115)))</f>
        <v>6319.7195879824976</v>
      </c>
      <c r="W115" s="3" t="s">
        <v>127</v>
      </c>
      <c r="X115" s="3">
        <f>X109</f>
        <v>360</v>
      </c>
      <c r="Y115" s="3" t="s">
        <v>127</v>
      </c>
      <c r="AA115" s="3" t="s">
        <v>92</v>
      </c>
      <c r="AB115" s="78">
        <f t="shared" ref="AB115:AE115" si="5">1/(AB109^2)</f>
        <v>4.8382130267611797E-10</v>
      </c>
      <c r="AC115" s="78">
        <f t="shared" si="5"/>
        <v>2.4294124648881973E-8</v>
      </c>
      <c r="AD115" s="78">
        <f t="shared" si="5"/>
        <v>8.6270638356539229E-11</v>
      </c>
      <c r="AE115" s="78">
        <f t="shared" si="5"/>
        <v>1.7405712138948249E-10</v>
      </c>
    </row>
    <row r="116" spans="1:31" x14ac:dyDescent="0.25">
      <c r="P116" s="3" t="s">
        <v>75</v>
      </c>
      <c r="Q116" s="3">
        <f>SQRT(((Q103)^2)+((Q104)^2))</f>
        <v>330.27726895574551</v>
      </c>
      <c r="R116" s="3" t="s">
        <v>195</v>
      </c>
      <c r="U116" s="3" t="s">
        <v>96</v>
      </c>
      <c r="V116" s="3">
        <f t="shared" ref="V116" si="6">SQRT(1/(SUM(AB116,AC116)))</f>
        <v>21098.83226351086</v>
      </c>
      <c r="W116" s="3" t="s">
        <v>127</v>
      </c>
      <c r="X116" s="3">
        <f>X110</f>
        <v>81</v>
      </c>
      <c r="Y116" s="3" t="s">
        <v>127</v>
      </c>
      <c r="AA116" s="3" t="s">
        <v>96</v>
      </c>
      <c r="AB116" s="78">
        <f t="shared" ref="AB116:AC116" si="7">1/(AB110^2)</f>
        <v>2.1866309731607373E-9</v>
      </c>
      <c r="AC116" s="78">
        <f t="shared" si="7"/>
        <v>5.9748701851839881E-11</v>
      </c>
      <c r="AD116" s="81"/>
      <c r="AE116" s="81"/>
    </row>
    <row r="117" spans="1:31" x14ac:dyDescent="0.25">
      <c r="P117" s="3" t="s">
        <v>77</v>
      </c>
      <c r="Q117" s="3">
        <f>SQRT(((Q105)^2)+((Q106)^2))</f>
        <v>414.92889221202529</v>
      </c>
      <c r="R117" s="3" t="s">
        <v>195</v>
      </c>
    </row>
    <row r="118" spans="1:31" x14ac:dyDescent="0.25">
      <c r="P118" s="3" t="s">
        <v>79</v>
      </c>
      <c r="Q118" s="3">
        <f>SQRT(((Q107)^2)+((Q108)^2))</f>
        <v>2067.2273677055828</v>
      </c>
      <c r="R118" s="3" t="s">
        <v>195</v>
      </c>
      <c r="U118" t="s">
        <v>226</v>
      </c>
    </row>
    <row r="119" spans="1:31" x14ac:dyDescent="0.25">
      <c r="P119" s="3" t="s">
        <v>227</v>
      </c>
      <c r="Q119" s="3">
        <f>SQRT(((Q109)^2)+((Q110)^2))</f>
        <v>1467.0974683109603</v>
      </c>
      <c r="R119" s="3" t="s">
        <v>195</v>
      </c>
    </row>
    <row r="120" spans="1:31" x14ac:dyDescent="0.25">
      <c r="K120" t="s">
        <v>172</v>
      </c>
      <c r="P120" s="24" t="s">
        <v>228</v>
      </c>
      <c r="Q120" s="3">
        <f>SQRT(((Q111)^2)+((Q112)^2))</f>
        <v>1348.1942274204105</v>
      </c>
      <c r="R120" s="3" t="s">
        <v>195</v>
      </c>
      <c r="U120" t="s">
        <v>229</v>
      </c>
    </row>
    <row r="121" spans="1:31" x14ac:dyDescent="0.25">
      <c r="P121" s="18" t="s">
        <v>230</v>
      </c>
    </row>
    <row r="122" spans="1:31" x14ac:dyDescent="0.25">
      <c r="A122" t="s">
        <v>231</v>
      </c>
      <c r="K122" t="s">
        <v>232</v>
      </c>
      <c r="U122" t="s">
        <v>233</v>
      </c>
      <c r="W122">
        <f>I110*I102/2</f>
        <v>669.64442305914974</v>
      </c>
      <c r="X122" t="s">
        <v>234</v>
      </c>
    </row>
    <row r="123" spans="1:31" x14ac:dyDescent="0.25">
      <c r="G123" s="3" t="s">
        <v>235</v>
      </c>
      <c r="H123" s="3"/>
      <c r="I123" s="3">
        <f>(PI()*I102)/I80</f>
        <v>0.78539816339744828</v>
      </c>
      <c r="J123" s="3" t="s">
        <v>100</v>
      </c>
      <c r="U123" t="s">
        <v>236</v>
      </c>
      <c r="W123">
        <f>I102/2*I111</f>
        <v>2976.197435818443</v>
      </c>
      <c r="X123" t="s">
        <v>234</v>
      </c>
    </row>
    <row r="124" spans="1:31" x14ac:dyDescent="0.25">
      <c r="G124" s="3" t="s">
        <v>237</v>
      </c>
      <c r="H124" s="3"/>
      <c r="I124" s="3">
        <f>(PI()*I103)/I81</f>
        <v>0.78539816339744828</v>
      </c>
      <c r="J124" s="3" t="s">
        <v>100</v>
      </c>
      <c r="U124" t="s">
        <v>238</v>
      </c>
      <c r="W124">
        <f>I103/2*I111</f>
        <v>13227.544159193079</v>
      </c>
      <c r="X124" t="s">
        <v>234</v>
      </c>
    </row>
    <row r="126" spans="1:31" x14ac:dyDescent="0.25">
      <c r="A126" t="s">
        <v>239</v>
      </c>
    </row>
    <row r="127" spans="1:31" x14ac:dyDescent="0.25">
      <c r="G127" s="3" t="s">
        <v>240</v>
      </c>
      <c r="H127" s="3"/>
      <c r="I127" s="3">
        <f>3*I123</f>
        <v>2.3561944901923448</v>
      </c>
      <c r="J127" s="3" t="s">
        <v>100</v>
      </c>
    </row>
    <row r="128" spans="1:31" x14ac:dyDescent="0.25">
      <c r="G128" s="3" t="s">
        <v>241</v>
      </c>
      <c r="H128" s="3"/>
      <c r="I128" s="3">
        <f>5*I124</f>
        <v>3.9269908169872414</v>
      </c>
      <c r="J128" s="3" t="s">
        <v>100</v>
      </c>
    </row>
    <row r="133" spans="1:11" x14ac:dyDescent="0.25">
      <c r="A133" t="s">
        <v>242</v>
      </c>
      <c r="F133" t="s">
        <v>243</v>
      </c>
      <c r="K133" t="s">
        <v>244</v>
      </c>
    </row>
    <row r="134" spans="1:11" x14ac:dyDescent="0.25">
      <c r="F134" s="1" t="s">
        <v>33</v>
      </c>
    </row>
    <row r="135" spans="1:11" x14ac:dyDescent="0.25">
      <c r="G135" s="3" t="s">
        <v>35</v>
      </c>
      <c r="H135" s="3">
        <f>G10</f>
        <v>1.4</v>
      </c>
    </row>
    <row r="136" spans="1:11" x14ac:dyDescent="0.25">
      <c r="G136" s="3" t="s">
        <v>245</v>
      </c>
      <c r="H136" s="3">
        <f>G11</f>
        <v>0.81399999999999995</v>
      </c>
    </row>
    <row r="137" spans="1:11" x14ac:dyDescent="0.25">
      <c r="G137" s="91" t="s">
        <v>42</v>
      </c>
      <c r="H137" s="91"/>
    </row>
    <row r="138" spans="1:11" x14ac:dyDescent="0.25">
      <c r="G138" s="3" t="s">
        <v>44</v>
      </c>
      <c r="H138" s="3">
        <f>G13</f>
        <v>1.6</v>
      </c>
    </row>
    <row r="139" spans="1:11" x14ac:dyDescent="0.25">
      <c r="G139" s="3" t="s">
        <v>246</v>
      </c>
      <c r="H139" s="3">
        <f>G14</f>
        <v>1</v>
      </c>
    </row>
    <row r="141" spans="1:11" x14ac:dyDescent="0.25">
      <c r="G141" s="1" t="s">
        <v>32</v>
      </c>
    </row>
    <row r="142" spans="1:11" x14ac:dyDescent="0.25">
      <c r="G142" s="86" t="s">
        <v>34</v>
      </c>
      <c r="H142" s="87">
        <f>B10</f>
        <v>3</v>
      </c>
    </row>
    <row r="143" spans="1:11" x14ac:dyDescent="0.25">
      <c r="G143" s="86"/>
      <c r="H143" s="87"/>
      <c r="K143" t="s">
        <v>247</v>
      </c>
    </row>
    <row r="144" spans="1:11" x14ac:dyDescent="0.25">
      <c r="G144" s="86" t="s">
        <v>37</v>
      </c>
      <c r="H144" s="87">
        <f>B11</f>
        <v>2</v>
      </c>
    </row>
    <row r="145" spans="1:9" x14ac:dyDescent="0.25">
      <c r="G145" s="86"/>
      <c r="H145" s="87"/>
    </row>
    <row r="150" spans="1:9" x14ac:dyDescent="0.25">
      <c r="G150" s="1" t="s">
        <v>248</v>
      </c>
    </row>
    <row r="151" spans="1:9" x14ac:dyDescent="0.25">
      <c r="G151" s="3" t="s">
        <v>249</v>
      </c>
      <c r="H151" s="3">
        <v>0.29499999999999998</v>
      </c>
    </row>
    <row r="152" spans="1:9" x14ac:dyDescent="0.25">
      <c r="G152" s="3" t="s">
        <v>250</v>
      </c>
      <c r="H152" s="3">
        <v>0.22500000000000001</v>
      </c>
    </row>
    <row r="156" spans="1:9" x14ac:dyDescent="0.25">
      <c r="G156" s="1" t="s">
        <v>251</v>
      </c>
    </row>
    <row r="157" spans="1:9" x14ac:dyDescent="0.25">
      <c r="A157" t="s">
        <v>252</v>
      </c>
      <c r="G157" s="3" t="s">
        <v>253</v>
      </c>
      <c r="H157" s="3">
        <f>(PI()*I102*B4)/12</f>
        <v>942.47779607693792</v>
      </c>
      <c r="I157" s="3" t="s">
        <v>254</v>
      </c>
    </row>
    <row r="158" spans="1:9" x14ac:dyDescent="0.25">
      <c r="G158" s="3" t="s">
        <v>255</v>
      </c>
      <c r="H158" s="3">
        <f>(PI()*I103*I87)/12</f>
        <v>212.05750411731103</v>
      </c>
      <c r="I158" s="3" t="s">
        <v>254</v>
      </c>
    </row>
    <row r="166" spans="6:11" x14ac:dyDescent="0.25">
      <c r="K166" t="s">
        <v>256</v>
      </c>
    </row>
    <row r="171" spans="6:11" ht="14.45" customHeight="1" x14ac:dyDescent="0.25"/>
    <row r="173" spans="6:11" x14ac:dyDescent="0.25">
      <c r="F173" s="1" t="s">
        <v>257</v>
      </c>
    </row>
    <row r="174" spans="6:11" x14ac:dyDescent="0.25">
      <c r="F174" s="3" t="s">
        <v>258</v>
      </c>
      <c r="G174" s="3">
        <v>3.6</v>
      </c>
    </row>
    <row r="175" spans="6:11" x14ac:dyDescent="0.25">
      <c r="F175" s="3" t="s">
        <v>259</v>
      </c>
      <c r="G175" s="3">
        <v>1.6</v>
      </c>
    </row>
    <row r="184" spans="1:11" x14ac:dyDescent="0.25">
      <c r="K184" t="s">
        <v>260</v>
      </c>
    </row>
    <row r="186" spans="1:11" x14ac:dyDescent="0.25">
      <c r="A186" s="94" t="s">
        <v>261</v>
      </c>
      <c r="B186" s="94"/>
      <c r="C186" s="94"/>
      <c r="D186" s="94"/>
      <c r="E186" s="94"/>
    </row>
    <row r="187" spans="1:11" x14ac:dyDescent="0.25">
      <c r="A187" s="94"/>
      <c r="B187" s="94"/>
      <c r="C187" s="94"/>
      <c r="D187" s="94"/>
      <c r="E187" s="94"/>
    </row>
    <row r="188" spans="1:11" x14ac:dyDescent="0.25">
      <c r="A188" s="94"/>
      <c r="B188" s="94"/>
      <c r="C188" s="94"/>
      <c r="D188" s="94"/>
      <c r="E188" s="94"/>
    </row>
    <row r="197" spans="1:15" x14ac:dyDescent="0.25">
      <c r="B197" s="3" t="s">
        <v>262</v>
      </c>
      <c r="C197" s="3">
        <v>1.25</v>
      </c>
    </row>
    <row r="199" spans="1:15" x14ac:dyDescent="0.25">
      <c r="A199" s="92" t="s">
        <v>263</v>
      </c>
      <c r="B199" s="92"/>
      <c r="C199" s="92"/>
      <c r="D199" s="92"/>
      <c r="E199" s="92"/>
      <c r="G199" s="93" t="s">
        <v>264</v>
      </c>
      <c r="H199" s="93"/>
      <c r="I199" s="93"/>
      <c r="J199" s="93"/>
      <c r="K199" t="s">
        <v>265</v>
      </c>
    </row>
    <row r="200" spans="1:15" x14ac:dyDescent="0.25">
      <c r="A200" s="92"/>
      <c r="B200" s="92"/>
      <c r="C200" s="92"/>
      <c r="D200" s="92"/>
      <c r="E200" s="92"/>
      <c r="G200" s="88" t="s">
        <v>266</v>
      </c>
      <c r="H200" s="88"/>
      <c r="I200" s="3">
        <f>(I110*I97*G174*C197*H138)/(I127*H152)</f>
        <v>32336.318022173298</v>
      </c>
      <c r="J200" s="3" t="s">
        <v>267</v>
      </c>
      <c r="K200" t="s">
        <v>268</v>
      </c>
    </row>
    <row r="201" spans="1:15" x14ac:dyDescent="0.25">
      <c r="A201" s="92"/>
      <c r="B201" s="92"/>
      <c r="C201" s="92"/>
      <c r="D201" s="92"/>
      <c r="E201" s="92"/>
      <c r="G201" s="88" t="s">
        <v>269</v>
      </c>
      <c r="H201" s="88"/>
      <c r="I201" s="3">
        <f>(I110*I97*G174*C197*H138)/(I127*H151)</f>
        <v>24663.293406742348</v>
      </c>
      <c r="J201" s="3" t="s">
        <v>267</v>
      </c>
    </row>
    <row r="202" spans="1:15" x14ac:dyDescent="0.25">
      <c r="G202" s="88" t="s">
        <v>270</v>
      </c>
      <c r="H202" s="88"/>
      <c r="I202" s="16">
        <f>(I111*I97*G175*C197*H138)/(I127*H152)</f>
        <v>63874.208438860835</v>
      </c>
      <c r="J202" s="3" t="s">
        <v>267</v>
      </c>
    </row>
    <row r="203" spans="1:15" x14ac:dyDescent="0.25">
      <c r="G203" s="88" t="s">
        <v>271</v>
      </c>
      <c r="H203" s="88"/>
      <c r="I203" s="17">
        <f>(I111*I97*G175*C197*H138)/(I127*H151)</f>
        <v>48717.616605910815</v>
      </c>
      <c r="J203" s="3" t="s">
        <v>267</v>
      </c>
      <c r="N203" s="3" t="s">
        <v>272</v>
      </c>
      <c r="O203" s="3">
        <v>1.2</v>
      </c>
    </row>
    <row r="204" spans="1:15" x14ac:dyDescent="0.25">
      <c r="G204" s="14"/>
      <c r="H204" s="14"/>
    </row>
    <row r="205" spans="1:15" x14ac:dyDescent="0.25">
      <c r="G205" s="89" t="s">
        <v>273</v>
      </c>
      <c r="H205" s="89"/>
      <c r="I205" s="89"/>
      <c r="J205" s="89"/>
    </row>
    <row r="206" spans="1:15" x14ac:dyDescent="0.25">
      <c r="G206" s="88" t="s">
        <v>266</v>
      </c>
      <c r="H206" s="88"/>
      <c r="I206" s="3">
        <f>(I110*I97*G174*C197*H138)/(I128*H152)</f>
        <v>19401.790813303978</v>
      </c>
      <c r="J206" s="3" t="s">
        <v>267</v>
      </c>
    </row>
    <row r="207" spans="1:15" x14ac:dyDescent="0.25">
      <c r="G207" s="88" t="s">
        <v>269</v>
      </c>
      <c r="H207" s="88"/>
      <c r="I207" s="3">
        <f>(I110*I97*G174*C197*H138)/(I128*H151)</f>
        <v>14797.976044045408</v>
      </c>
      <c r="J207" s="3" t="s">
        <v>267</v>
      </c>
    </row>
    <row r="208" spans="1:15" x14ac:dyDescent="0.25">
      <c r="G208" s="88" t="s">
        <v>270</v>
      </c>
      <c r="H208" s="88"/>
      <c r="I208" s="15">
        <f>(I111*I97*G175*C197*H138)/(I128*H152)</f>
        <v>38324.525063316505</v>
      </c>
      <c r="J208" s="3" t="s">
        <v>267</v>
      </c>
    </row>
    <row r="209" spans="7:20" x14ac:dyDescent="0.25">
      <c r="G209" s="88" t="s">
        <v>271</v>
      </c>
      <c r="H209" s="88"/>
      <c r="I209" s="17">
        <f>(I111*I97*G175*C197*H138)/(I128*H151)</f>
        <v>29230.569963546488</v>
      </c>
      <c r="J209" s="3" t="s">
        <v>267</v>
      </c>
    </row>
    <row r="210" spans="7:20" x14ac:dyDescent="0.25">
      <c r="K210" t="s">
        <v>274</v>
      </c>
    </row>
    <row r="211" spans="7:20" x14ac:dyDescent="0.25">
      <c r="G211" s="90"/>
      <c r="H211" s="90"/>
      <c r="I211" s="90"/>
      <c r="J211" s="90"/>
    </row>
    <row r="212" spans="7:20" x14ac:dyDescent="0.25">
      <c r="G212" s="90"/>
      <c r="H212" s="90"/>
      <c r="I212" s="90"/>
      <c r="J212" s="90"/>
    </row>
    <row r="213" spans="7:20" x14ac:dyDescent="0.25">
      <c r="G213" s="90"/>
      <c r="H213" s="90"/>
      <c r="I213" s="90"/>
      <c r="J213" s="90"/>
      <c r="N213" s="3" t="s">
        <v>39</v>
      </c>
      <c r="O213" s="3">
        <v>1</v>
      </c>
    </row>
    <row r="214" spans="7:20" x14ac:dyDescent="0.25">
      <c r="G214" s="90"/>
      <c r="H214" s="90"/>
      <c r="I214" s="90"/>
      <c r="J214" s="90"/>
    </row>
    <row r="220" spans="7:20" x14ac:dyDescent="0.25">
      <c r="O220" s="94" t="s">
        <v>275</v>
      </c>
      <c r="P220" s="94"/>
      <c r="Q220" s="94"/>
      <c r="R220" s="94"/>
      <c r="S220" s="94"/>
      <c r="T220" s="94"/>
    </row>
    <row r="221" spans="7:20" x14ac:dyDescent="0.25">
      <c r="O221" s="94"/>
      <c r="P221" s="94"/>
      <c r="Q221" s="94"/>
      <c r="R221" s="94"/>
      <c r="S221" s="94"/>
      <c r="T221" s="94"/>
    </row>
    <row r="222" spans="7:20" x14ac:dyDescent="0.25">
      <c r="O222" s="1" t="s">
        <v>276</v>
      </c>
    </row>
    <row r="223" spans="7:20" x14ac:dyDescent="0.25">
      <c r="O223" s="3" t="s">
        <v>73</v>
      </c>
      <c r="P223" s="3">
        <f>Q115</f>
        <v>303.1633625838129</v>
      </c>
      <c r="Q223" s="3" t="s">
        <v>195</v>
      </c>
      <c r="R223" s="3" t="s">
        <v>277</v>
      </c>
      <c r="S223" s="3">
        <f>P223*4.4482</f>
        <v>1348.5312694453164</v>
      </c>
      <c r="T223" s="3" t="s">
        <v>278</v>
      </c>
    </row>
    <row r="224" spans="7:20" x14ac:dyDescent="0.25">
      <c r="O224" s="3" t="s">
        <v>75</v>
      </c>
      <c r="P224" s="3">
        <f t="shared" ref="P224:P228" si="8">Q116</f>
        <v>330.27726895574551</v>
      </c>
      <c r="Q224" s="3" t="s">
        <v>195</v>
      </c>
      <c r="R224" s="3" t="s">
        <v>277</v>
      </c>
      <c r="S224" s="3">
        <f t="shared" ref="S224:S228" si="9">P224*4.4482</f>
        <v>1469.1393477689471</v>
      </c>
      <c r="T224" s="3" t="s">
        <v>278</v>
      </c>
    </row>
    <row r="225" spans="1:20" x14ac:dyDescent="0.25">
      <c r="O225" s="3" t="s">
        <v>77</v>
      </c>
      <c r="P225" s="3">
        <f t="shared" si="8"/>
        <v>414.92889221202529</v>
      </c>
      <c r="Q225" s="3" t="s">
        <v>195</v>
      </c>
      <c r="R225" s="3" t="s">
        <v>277</v>
      </c>
      <c r="S225" s="3">
        <f t="shared" si="9"/>
        <v>1845.686698337531</v>
      </c>
      <c r="T225" s="3" t="s">
        <v>278</v>
      </c>
    </row>
    <row r="226" spans="1:20" x14ac:dyDescent="0.25">
      <c r="O226" s="3" t="s">
        <v>79</v>
      </c>
      <c r="P226" s="3">
        <f t="shared" si="8"/>
        <v>2067.2273677055828</v>
      </c>
      <c r="Q226" s="3" t="s">
        <v>195</v>
      </c>
      <c r="R226" s="3" t="s">
        <v>277</v>
      </c>
      <c r="S226" s="3">
        <f t="shared" si="9"/>
        <v>9195.4407770279722</v>
      </c>
      <c r="T226" s="3" t="s">
        <v>278</v>
      </c>
    </row>
    <row r="227" spans="1:20" x14ac:dyDescent="0.25">
      <c r="O227" s="3" t="s">
        <v>227</v>
      </c>
      <c r="P227" s="3">
        <f t="shared" si="8"/>
        <v>1467.0974683109603</v>
      </c>
      <c r="Q227" s="3" t="s">
        <v>195</v>
      </c>
      <c r="R227" s="3" t="s">
        <v>277</v>
      </c>
      <c r="S227" s="3">
        <f t="shared" si="9"/>
        <v>6525.9429585408134</v>
      </c>
      <c r="T227" s="3" t="s">
        <v>278</v>
      </c>
    </row>
    <row r="228" spans="1:20" x14ac:dyDescent="0.25">
      <c r="K228" s="3" t="s">
        <v>279</v>
      </c>
      <c r="L228" s="3">
        <f>B7</f>
        <v>14000</v>
      </c>
      <c r="M228" s="3" t="s">
        <v>280</v>
      </c>
      <c r="O228" s="3" t="s">
        <v>228</v>
      </c>
      <c r="P228" s="3">
        <f t="shared" si="8"/>
        <v>1348.1942274204105</v>
      </c>
      <c r="Q228" s="3" t="s">
        <v>195</v>
      </c>
      <c r="R228" s="3" t="s">
        <v>277</v>
      </c>
      <c r="S228" s="3">
        <f t="shared" si="9"/>
        <v>5997.0375624114695</v>
      </c>
      <c r="T228" s="3" t="s">
        <v>278</v>
      </c>
    </row>
    <row r="229" spans="1:20" x14ac:dyDescent="0.25">
      <c r="K229" s="3" t="s">
        <v>281</v>
      </c>
      <c r="L229" s="27">
        <v>90000000</v>
      </c>
      <c r="M229" s="3" t="s">
        <v>282</v>
      </c>
    </row>
    <row r="232" spans="1:20" x14ac:dyDescent="0.25">
      <c r="A232" t="s">
        <v>283</v>
      </c>
      <c r="G232" t="s">
        <v>284</v>
      </c>
      <c r="K232" t="s">
        <v>285</v>
      </c>
      <c r="Q232" s="1" t="s">
        <v>286</v>
      </c>
    </row>
    <row r="233" spans="1:20" x14ac:dyDescent="0.25">
      <c r="G233" s="1" t="s">
        <v>33</v>
      </c>
      <c r="Q233" s="3" t="s">
        <v>287</v>
      </c>
      <c r="R233" s="3"/>
      <c r="S233" s="27">
        <f>L228*60*G374</f>
        <v>1344000000</v>
      </c>
      <c r="T233" s="3" t="s">
        <v>282</v>
      </c>
    </row>
    <row r="234" spans="1:20" x14ac:dyDescent="0.25">
      <c r="H234" s="3" t="s">
        <v>35</v>
      </c>
      <c r="I234" s="3">
        <f>H135</f>
        <v>1.4</v>
      </c>
      <c r="Q234" s="3" t="s">
        <v>288</v>
      </c>
      <c r="R234" s="3"/>
      <c r="S234" s="27">
        <f>L228*60*H374</f>
        <v>302400000</v>
      </c>
      <c r="T234" s="3" t="s">
        <v>282</v>
      </c>
    </row>
    <row r="235" spans="1:20" x14ac:dyDescent="0.25">
      <c r="H235" s="3" t="s">
        <v>245</v>
      </c>
      <c r="I235" s="3">
        <f>H136</f>
        <v>0.81399999999999995</v>
      </c>
      <c r="Q235" s="3" t="s">
        <v>289</v>
      </c>
      <c r="R235" s="3"/>
      <c r="S235" s="27">
        <f>L228*60*J374</f>
        <v>68040000</v>
      </c>
      <c r="T235" s="3" t="s">
        <v>282</v>
      </c>
    </row>
    <row r="236" spans="1:20" x14ac:dyDescent="0.25">
      <c r="H236" s="91" t="s">
        <v>42</v>
      </c>
      <c r="I236" s="91"/>
    </row>
    <row r="237" spans="1:20" x14ac:dyDescent="0.25">
      <c r="A237" t="s">
        <v>290</v>
      </c>
      <c r="H237" s="3" t="s">
        <v>44</v>
      </c>
      <c r="I237" s="3">
        <f>H138</f>
        <v>1.6</v>
      </c>
    </row>
    <row r="238" spans="1:20" x14ac:dyDescent="0.25">
      <c r="A238" t="s">
        <v>291</v>
      </c>
      <c r="H238" s="3" t="s">
        <v>246</v>
      </c>
      <c r="I238" s="3">
        <f>H139</f>
        <v>1</v>
      </c>
    </row>
    <row r="240" spans="1:20" x14ac:dyDescent="0.25">
      <c r="H240" s="1" t="s">
        <v>32</v>
      </c>
    </row>
    <row r="241" spans="6:20" x14ac:dyDescent="0.25">
      <c r="H241" s="86" t="s">
        <v>34</v>
      </c>
      <c r="I241" s="87">
        <f>B10</f>
        <v>3</v>
      </c>
    </row>
    <row r="242" spans="6:20" x14ac:dyDescent="0.25">
      <c r="H242" s="86"/>
      <c r="I242" s="87"/>
    </row>
    <row r="243" spans="6:20" x14ac:dyDescent="0.25">
      <c r="H243" s="86" t="s">
        <v>37</v>
      </c>
      <c r="I243" s="87">
        <f>B11</f>
        <v>2</v>
      </c>
    </row>
    <row r="244" spans="6:20" x14ac:dyDescent="0.25">
      <c r="H244" s="86"/>
      <c r="I244" s="87"/>
      <c r="Q244" s="1" t="s">
        <v>292</v>
      </c>
    </row>
    <row r="245" spans="6:20" x14ac:dyDescent="0.25">
      <c r="K245" t="s">
        <v>293</v>
      </c>
      <c r="Q245" s="3"/>
      <c r="R245" s="2" t="s">
        <v>294</v>
      </c>
      <c r="S245" s="2" t="s">
        <v>295</v>
      </c>
      <c r="T245" s="3"/>
    </row>
    <row r="246" spans="6:20" x14ac:dyDescent="0.25">
      <c r="Q246" s="3" t="s">
        <v>296</v>
      </c>
      <c r="R246" s="58">
        <f>(S223*O203*(((S233)/(O213*L229))^0.3))/1000</f>
        <v>3.6415753033194287</v>
      </c>
      <c r="S246" s="25">
        <f>H608</f>
        <v>3.5714966983877732</v>
      </c>
      <c r="T246" s="3" t="s">
        <v>297</v>
      </c>
    </row>
    <row r="247" spans="6:20" x14ac:dyDescent="0.25">
      <c r="H247" s="3" t="s">
        <v>298</v>
      </c>
      <c r="I247" s="3">
        <v>1</v>
      </c>
      <c r="Q247" s="3" t="s">
        <v>299</v>
      </c>
      <c r="R247" s="59">
        <f>(S224*O203*(((S233)/(O213*L229))^0.3))/1000</f>
        <v>3.9672654888979983</v>
      </c>
      <c r="S247" s="25">
        <f t="shared" ref="S247:S251" si="10">H609</f>
        <v>4.0373440938296552</v>
      </c>
      <c r="T247" s="3" t="s">
        <v>297</v>
      </c>
    </row>
    <row r="248" spans="6:20" x14ac:dyDescent="0.25">
      <c r="H248" s="3" t="s">
        <v>300</v>
      </c>
      <c r="I248" s="3">
        <v>0.85</v>
      </c>
      <c r="Q248" s="3" t="s">
        <v>301</v>
      </c>
      <c r="R248" s="58">
        <f>(S225*O203*(((S234)/(O213*L229))^0.3))/1000</f>
        <v>3.1859650815195861</v>
      </c>
      <c r="S248" s="25">
        <f t="shared" si="10"/>
        <v>3.1150118484957989</v>
      </c>
      <c r="T248" s="3" t="s">
        <v>297</v>
      </c>
    </row>
    <row r="249" spans="6:20" x14ac:dyDescent="0.25">
      <c r="H249" s="3" t="s">
        <v>302</v>
      </c>
      <c r="I249" s="3">
        <v>0.65</v>
      </c>
      <c r="Q249" s="3" t="s">
        <v>303</v>
      </c>
      <c r="R249" s="59">
        <f>(S226*O203*(((S234)/(O213*L229))^0.3))/1000</f>
        <v>15.872874443523168</v>
      </c>
      <c r="S249" s="25">
        <f t="shared" si="10"/>
        <v>15.951919938451898</v>
      </c>
      <c r="T249" s="3" t="s">
        <v>297</v>
      </c>
    </row>
    <row r="250" spans="6:20" x14ac:dyDescent="0.25">
      <c r="Q250" s="3" t="s">
        <v>304</v>
      </c>
      <c r="R250" s="59">
        <f>(S227*O203*(((S235)/(O213*L229))^0.3))/1000</f>
        <v>7.200805130419492</v>
      </c>
      <c r="S250" s="25">
        <f t="shared" si="10"/>
        <v>7.3320050884500061</v>
      </c>
      <c r="T250" s="3" t="s">
        <v>297</v>
      </c>
    </row>
    <row r="251" spans="6:20" x14ac:dyDescent="0.25">
      <c r="Q251" s="3" t="s">
        <v>305</v>
      </c>
      <c r="R251" s="58">
        <f>(S228*O203*(((S235)/(O213*L229))^0.3))/1000</f>
        <v>6.6172044593516723</v>
      </c>
      <c r="S251" s="25">
        <f t="shared" si="10"/>
        <v>6.4860045013211582</v>
      </c>
      <c r="T251" s="3" t="s">
        <v>297</v>
      </c>
    </row>
    <row r="252" spans="6:20" x14ac:dyDescent="0.25">
      <c r="F252" s="94" t="s">
        <v>306</v>
      </c>
      <c r="G252" s="94"/>
      <c r="H252" s="94"/>
      <c r="I252" s="94"/>
    </row>
    <row r="253" spans="6:20" x14ac:dyDescent="0.25">
      <c r="F253" s="94"/>
      <c r="G253" s="94"/>
      <c r="H253" s="94"/>
      <c r="I253" s="94"/>
      <c r="R253" s="52" t="s">
        <v>307</v>
      </c>
      <c r="S253" s="57" t="s">
        <v>308</v>
      </c>
    </row>
    <row r="254" spans="6:20" x14ac:dyDescent="0.25">
      <c r="F254" s="94"/>
      <c r="G254" s="94"/>
      <c r="H254" s="94"/>
      <c r="I254" s="94"/>
      <c r="Q254" s="94" t="s">
        <v>309</v>
      </c>
      <c r="R254" s="94"/>
      <c r="S254" s="94"/>
    </row>
    <row r="255" spans="6:20" x14ac:dyDescent="0.25">
      <c r="F255" s="94"/>
      <c r="G255" s="94"/>
      <c r="H255" s="94"/>
      <c r="I255" s="94"/>
      <c r="Q255" s="94"/>
      <c r="R255" s="94"/>
      <c r="S255" s="94"/>
    </row>
    <row r="256" spans="6:20" x14ac:dyDescent="0.25">
      <c r="Q256" s="94"/>
      <c r="R256" s="94"/>
      <c r="S256" s="94"/>
    </row>
    <row r="257" spans="1:20" x14ac:dyDescent="0.25">
      <c r="Q257" s="94"/>
      <c r="R257" s="94"/>
      <c r="S257" s="94"/>
    </row>
    <row r="258" spans="1:20" x14ac:dyDescent="0.25">
      <c r="Q258" s="94"/>
      <c r="R258" s="94"/>
      <c r="S258" s="94"/>
    </row>
    <row r="259" spans="1:20" x14ac:dyDescent="0.25">
      <c r="Q259" s="94"/>
      <c r="R259" s="94"/>
      <c r="S259" s="94"/>
    </row>
    <row r="260" spans="1:20" x14ac:dyDescent="0.25">
      <c r="Q260" s="94"/>
      <c r="R260" s="94"/>
      <c r="S260" s="94"/>
    </row>
    <row r="261" spans="1:20" x14ac:dyDescent="0.25">
      <c r="Q261" s="94"/>
      <c r="R261" s="94"/>
      <c r="S261" s="94"/>
    </row>
    <row r="262" spans="1:20" x14ac:dyDescent="0.25">
      <c r="Q262" s="94"/>
      <c r="R262" s="94"/>
      <c r="S262" s="94"/>
    </row>
    <row r="264" spans="1:20" x14ac:dyDescent="0.25">
      <c r="K264" s="1" t="s">
        <v>310</v>
      </c>
    </row>
    <row r="265" spans="1:20" x14ac:dyDescent="0.25">
      <c r="A265" t="s">
        <v>311</v>
      </c>
      <c r="K265" t="s">
        <v>312</v>
      </c>
      <c r="P265" s="1" t="s">
        <v>313</v>
      </c>
    </row>
    <row r="266" spans="1:20" x14ac:dyDescent="0.25">
      <c r="P266" s="3" t="s">
        <v>314</v>
      </c>
      <c r="Q266" s="3">
        <v>20</v>
      </c>
      <c r="R266" s="3" t="s">
        <v>315</v>
      </c>
      <c r="S266" s="21">
        <f>Q266/25.4</f>
        <v>0.78740157480314965</v>
      </c>
      <c r="T266" s="3" t="s">
        <v>316</v>
      </c>
    </row>
    <row r="267" spans="1:20" x14ac:dyDescent="0.25">
      <c r="F267" s="1" t="s">
        <v>317</v>
      </c>
      <c r="P267" s="3" t="s">
        <v>318</v>
      </c>
      <c r="Q267" s="3">
        <v>30</v>
      </c>
      <c r="R267" s="3" t="s">
        <v>315</v>
      </c>
      <c r="S267" s="21">
        <f t="shared" ref="S267:S270" si="11">Q267/25.4</f>
        <v>1.1811023622047245</v>
      </c>
      <c r="T267" s="3" t="s">
        <v>316</v>
      </c>
    </row>
    <row r="268" spans="1:20" x14ac:dyDescent="0.25">
      <c r="F268" s="3"/>
      <c r="G268" s="3" t="s">
        <v>319</v>
      </c>
      <c r="H268" s="3" t="s">
        <v>320</v>
      </c>
      <c r="P268" s="3" t="s">
        <v>321</v>
      </c>
      <c r="Q268" s="3">
        <v>55</v>
      </c>
      <c r="R268" s="3" t="s">
        <v>315</v>
      </c>
      <c r="S268" s="21">
        <f t="shared" si="11"/>
        <v>2.1653543307086616</v>
      </c>
      <c r="T268" s="3" t="s">
        <v>316</v>
      </c>
    </row>
    <row r="269" spans="1:20" x14ac:dyDescent="0.25">
      <c r="F269" s="3" t="s">
        <v>322</v>
      </c>
      <c r="G269" s="3">
        <f>(I243*I202)/(0.5*I247*I248*I249*I235*I238*I234*1000)</f>
        <v>405.78949469519887</v>
      </c>
      <c r="H269" s="3">
        <f>(I241*I202)/(0.5*I247*I248*I249*I235*I238*I234*1000)</f>
        <v>608.68424204279836</v>
      </c>
      <c r="P269" s="3" t="s">
        <v>323</v>
      </c>
      <c r="Q269" s="3">
        <v>35</v>
      </c>
      <c r="R269" s="3" t="s">
        <v>315</v>
      </c>
      <c r="S269" s="21">
        <f t="shared" si="11"/>
        <v>1.3779527559055118</v>
      </c>
      <c r="T269" s="3" t="s">
        <v>316</v>
      </c>
    </row>
    <row r="270" spans="1:20" x14ac:dyDescent="0.25">
      <c r="F270" s="3" t="s">
        <v>324</v>
      </c>
      <c r="G270" s="3">
        <f>(I243*I208)/(0.5*I247*I248*I249*I235*I238*I234*1000)</f>
        <v>243.47369681711936</v>
      </c>
      <c r="H270" s="3">
        <f>(I241*I208)/(0.5*I247*I248*I249*I235*I238*I234*1000)</f>
        <v>365.21054522567903</v>
      </c>
      <c r="P270" s="3" t="s">
        <v>325</v>
      </c>
      <c r="Q270" s="3">
        <v>4</v>
      </c>
      <c r="R270" s="3" t="s">
        <v>315</v>
      </c>
      <c r="S270" s="21">
        <f t="shared" si="11"/>
        <v>0.15748031496062992</v>
      </c>
      <c r="T270" s="3" t="s">
        <v>316</v>
      </c>
    </row>
    <row r="271" spans="1:20" x14ac:dyDescent="0.25">
      <c r="G271" t="s">
        <v>326</v>
      </c>
    </row>
    <row r="274" spans="1:20" x14ac:dyDescent="0.25">
      <c r="P274" s="1" t="s">
        <v>327</v>
      </c>
    </row>
    <row r="275" spans="1:20" x14ac:dyDescent="0.25">
      <c r="O275" s="3"/>
      <c r="P275" s="3"/>
      <c r="Q275" s="3" t="s">
        <v>136</v>
      </c>
      <c r="R275" s="3" t="s">
        <v>139</v>
      </c>
      <c r="S275" s="3" t="s">
        <v>142</v>
      </c>
      <c r="T275" s="3" t="s">
        <v>143</v>
      </c>
    </row>
    <row r="276" spans="1:20" x14ac:dyDescent="0.25">
      <c r="O276" s="103" t="s">
        <v>328</v>
      </c>
      <c r="P276" s="103"/>
      <c r="Q276" s="3">
        <f>G373</f>
        <v>2.25</v>
      </c>
      <c r="R276" s="3">
        <f>H373</f>
        <v>10</v>
      </c>
      <c r="S276" s="3">
        <f>G373</f>
        <v>2.25</v>
      </c>
      <c r="T276" s="3">
        <f>H373</f>
        <v>10</v>
      </c>
    </row>
    <row r="277" spans="1:20" x14ac:dyDescent="0.25">
      <c r="O277" s="103" t="s">
        <v>329</v>
      </c>
      <c r="P277" s="103"/>
      <c r="Q277" s="3">
        <f>T36</f>
        <v>4</v>
      </c>
      <c r="R277" s="3">
        <f>Q277</f>
        <v>4</v>
      </c>
      <c r="S277" s="3">
        <f>R277</f>
        <v>4</v>
      </c>
      <c r="T277" s="3">
        <f>S277</f>
        <v>4</v>
      </c>
    </row>
    <row r="278" spans="1:20" x14ac:dyDescent="0.25">
      <c r="O278" s="103" t="s">
        <v>330</v>
      </c>
      <c r="P278" s="103"/>
      <c r="Q278" s="3">
        <f>PI()/4*(Q276^2)*Q277</f>
        <v>15.904312808798327</v>
      </c>
      <c r="R278" s="3">
        <f t="shared" ref="R278:T278" si="12">PI()/4*(R276^2)*R277</f>
        <v>314.15926535897933</v>
      </c>
      <c r="S278" s="55">
        <f>PI()/4*(S276^2)*S277</f>
        <v>15.904312808798327</v>
      </c>
      <c r="T278" s="3">
        <f t="shared" si="12"/>
        <v>314.15926535897933</v>
      </c>
    </row>
    <row r="279" spans="1:20" x14ac:dyDescent="0.25">
      <c r="O279" s="103" t="s">
        <v>331</v>
      </c>
      <c r="P279" s="103"/>
      <c r="Q279" s="3">
        <f>B329</f>
        <v>0.29099999999999998</v>
      </c>
      <c r="R279" s="3">
        <f>B329</f>
        <v>0.29099999999999998</v>
      </c>
      <c r="S279" s="3">
        <f>R279</f>
        <v>0.29099999999999998</v>
      </c>
      <c r="T279" s="3">
        <f>S279</f>
        <v>0.29099999999999998</v>
      </c>
    </row>
    <row r="280" spans="1:20" x14ac:dyDescent="0.25">
      <c r="O280" s="103" t="s">
        <v>332</v>
      </c>
      <c r="P280" s="103"/>
      <c r="Q280" s="3">
        <f>Q278*Q279</f>
        <v>4.6281550273603127</v>
      </c>
      <c r="R280" s="3">
        <f>R279*R278</f>
        <v>91.420346219462971</v>
      </c>
      <c r="S280" s="3">
        <f>S279*S278</f>
        <v>4.6281550273603127</v>
      </c>
      <c r="T280" s="3">
        <f>T279*T278</f>
        <v>91.420346219462971</v>
      </c>
    </row>
    <row r="281" spans="1:20" x14ac:dyDescent="0.25">
      <c r="A281" s="90" t="s">
        <v>505</v>
      </c>
      <c r="B281" s="90"/>
      <c r="C281" s="90"/>
      <c r="D281" s="90"/>
      <c r="E281" s="90"/>
      <c r="F281" s="90"/>
      <c r="G281" s="90"/>
      <c r="H281" s="90"/>
      <c r="I281" s="90"/>
      <c r="J281" s="90"/>
      <c r="O281" s="104" t="s">
        <v>333</v>
      </c>
      <c r="P281" s="104"/>
      <c r="Q281" s="22">
        <v>32.173999999999999</v>
      </c>
      <c r="R281" s="22">
        <v>32.173999999999999</v>
      </c>
      <c r="S281" s="22">
        <v>32.173999999999999</v>
      </c>
      <c r="T281" s="22">
        <v>32.173999999999999</v>
      </c>
    </row>
    <row r="282" spans="1:20" x14ac:dyDescent="0.25">
      <c r="A282" s="90"/>
      <c r="B282" s="90"/>
      <c r="C282" s="90"/>
      <c r="D282" s="90"/>
      <c r="E282" s="90"/>
      <c r="F282" s="90"/>
      <c r="G282" s="90"/>
      <c r="H282" s="90"/>
      <c r="I282" s="90"/>
      <c r="J282" s="90"/>
      <c r="O282" s="103" t="s">
        <v>334</v>
      </c>
      <c r="P282" s="103"/>
      <c r="Q282" s="3">
        <f>Q280</f>
        <v>4.6281550273603127</v>
      </c>
      <c r="R282" s="3">
        <f t="shared" ref="R282:S282" si="13">R280</f>
        <v>91.420346219462971</v>
      </c>
      <c r="S282" s="3">
        <f t="shared" si="13"/>
        <v>4.6281550273603127</v>
      </c>
      <c r="T282" s="3">
        <f>T280</f>
        <v>91.420346219462971</v>
      </c>
    </row>
    <row r="284" spans="1:20" x14ac:dyDescent="0.25">
      <c r="G284" s="91" t="s">
        <v>335</v>
      </c>
      <c r="H284" s="91"/>
      <c r="I284" s="3">
        <v>4</v>
      </c>
      <c r="J284" s="3" t="s">
        <v>100</v>
      </c>
    </row>
    <row r="285" spans="1:20" x14ac:dyDescent="0.25">
      <c r="G285" s="88" t="s">
        <v>270</v>
      </c>
      <c r="H285" s="88"/>
      <c r="I285" s="3">
        <f>(I111*I97*G175*C197*H138)/(I284*H152*1000)</f>
        <v>37.625014497260324</v>
      </c>
      <c r="J285" s="3" t="s">
        <v>146</v>
      </c>
      <c r="P285" s="1" t="s">
        <v>336</v>
      </c>
    </row>
    <row r="286" spans="1:20" x14ac:dyDescent="0.25">
      <c r="G286" s="91" t="s">
        <v>337</v>
      </c>
      <c r="H286" s="91"/>
      <c r="I286" s="3">
        <f>(I243*I285)/(0.5*I247*I248*I249*I235*I238*I234)</f>
        <v>239.02974289469088</v>
      </c>
      <c r="J286" s="3" t="s">
        <v>146</v>
      </c>
      <c r="P286" s="3" t="s">
        <v>136</v>
      </c>
      <c r="Q286" s="3">
        <f>Q282-I113</f>
        <v>-212.02130056010157</v>
      </c>
      <c r="R286" s="3" t="s">
        <v>102</v>
      </c>
    </row>
    <row r="287" spans="1:20" x14ac:dyDescent="0.25">
      <c r="G287" s="91" t="s">
        <v>338</v>
      </c>
      <c r="H287" s="91"/>
      <c r="I287" s="3">
        <f>(I241*I285)/(0.5*I247*I248*I249*I235*I238*I234)</f>
        <v>358.54461434203631</v>
      </c>
      <c r="J287" s="3" t="s">
        <v>146</v>
      </c>
      <c r="P287" s="3" t="s">
        <v>139</v>
      </c>
      <c r="Q287" s="3">
        <f>R282+I113</f>
        <v>308.06980180692483</v>
      </c>
      <c r="R287" s="3" t="s">
        <v>102</v>
      </c>
    </row>
    <row r="288" spans="1:20" x14ac:dyDescent="0.25">
      <c r="P288" s="3" t="s">
        <v>142</v>
      </c>
      <c r="Q288" s="3">
        <f>S282+I114</f>
        <v>967.51462430496872</v>
      </c>
      <c r="R288" s="3" t="s">
        <v>102</v>
      </c>
    </row>
    <row r="289" spans="1:19" x14ac:dyDescent="0.25">
      <c r="P289" s="3" t="s">
        <v>143</v>
      </c>
      <c r="Q289" s="3">
        <f>T282-I114</f>
        <v>-871.4661230581454</v>
      </c>
      <c r="R289" s="3" t="s">
        <v>102</v>
      </c>
    </row>
    <row r="291" spans="1:19" x14ac:dyDescent="0.25">
      <c r="P291" s="1" t="s">
        <v>339</v>
      </c>
    </row>
    <row r="292" spans="1:19" x14ac:dyDescent="0.25">
      <c r="P292" s="3" t="s">
        <v>136</v>
      </c>
      <c r="Q292" s="3">
        <f>-I110</f>
        <v>-595.23948716368864</v>
      </c>
      <c r="R292" s="3" t="s">
        <v>102</v>
      </c>
    </row>
    <row r="293" spans="1:19" x14ac:dyDescent="0.25">
      <c r="P293" s="3" t="s">
        <v>139</v>
      </c>
      <c r="Q293" s="3">
        <f>-Q292</f>
        <v>595.23948716368864</v>
      </c>
      <c r="R293" s="3" t="s">
        <v>102</v>
      </c>
    </row>
    <row r="294" spans="1:19" x14ac:dyDescent="0.25">
      <c r="P294" s="3" t="s">
        <v>142</v>
      </c>
      <c r="Q294" s="3">
        <f>-I111</f>
        <v>-2645.5088318386161</v>
      </c>
      <c r="R294" s="3" t="s">
        <v>102</v>
      </c>
    </row>
    <row r="295" spans="1:19" x14ac:dyDescent="0.25">
      <c r="P295" s="3" t="s">
        <v>143</v>
      </c>
      <c r="Q295" s="3">
        <f>-Q294</f>
        <v>2645.5088318386161</v>
      </c>
      <c r="R295" s="3" t="s">
        <v>102</v>
      </c>
    </row>
    <row r="298" spans="1:19" x14ac:dyDescent="0.25">
      <c r="A298" s="23" t="s">
        <v>340</v>
      </c>
      <c r="D298" s="19" t="s">
        <v>341</v>
      </c>
      <c r="K298" s="94" t="s">
        <v>342</v>
      </c>
      <c r="L298" s="94"/>
      <c r="M298" s="94"/>
      <c r="N298" s="94"/>
      <c r="O298" s="94"/>
      <c r="P298" s="94"/>
      <c r="Q298" s="94"/>
      <c r="R298" s="94"/>
      <c r="S298" s="94"/>
    </row>
    <row r="299" spans="1:19" x14ac:dyDescent="0.25">
      <c r="K299" s="94"/>
      <c r="L299" s="94"/>
      <c r="M299" s="94"/>
      <c r="N299" s="94"/>
      <c r="O299" s="94"/>
      <c r="P299" s="94"/>
      <c r="Q299" s="94"/>
      <c r="R299" s="94"/>
      <c r="S299" s="94"/>
    </row>
    <row r="324" spans="1:16" x14ac:dyDescent="0.25">
      <c r="A324" s="92" t="s">
        <v>343</v>
      </c>
      <c r="B324" s="92"/>
      <c r="C324" s="92"/>
      <c r="D324" s="92"/>
      <c r="E324" s="92"/>
      <c r="F324" s="92"/>
      <c r="G324" s="92"/>
      <c r="H324" s="92"/>
    </row>
    <row r="325" spans="1:16" x14ac:dyDescent="0.25">
      <c r="A325" s="92"/>
      <c r="B325" s="92"/>
      <c r="C325" s="92"/>
      <c r="D325" s="92"/>
      <c r="E325" s="92"/>
      <c r="F325" s="92"/>
      <c r="G325" s="92"/>
      <c r="H325" s="92"/>
    </row>
    <row r="326" spans="1:16" x14ac:dyDescent="0.25">
      <c r="A326" s="92"/>
      <c r="B326" s="92"/>
      <c r="C326" s="92"/>
      <c r="D326" s="92"/>
      <c r="E326" s="92"/>
      <c r="F326" s="92"/>
      <c r="G326" s="92"/>
      <c r="H326" s="92"/>
      <c r="K326" t="s">
        <v>344</v>
      </c>
    </row>
    <row r="327" spans="1:16" x14ac:dyDescent="0.25">
      <c r="I327" s="95" t="s">
        <v>345</v>
      </c>
      <c r="J327" s="97"/>
    </row>
    <row r="328" spans="1:16" x14ac:dyDescent="0.25">
      <c r="A328" s="60" t="s">
        <v>346</v>
      </c>
      <c r="B328" s="4">
        <v>302</v>
      </c>
      <c r="C328" s="3" t="s">
        <v>146</v>
      </c>
      <c r="F328" s="5" t="s">
        <v>347</v>
      </c>
      <c r="G328" s="18"/>
      <c r="H328" s="6"/>
      <c r="I328" s="99">
        <v>53</v>
      </c>
      <c r="J328" s="100"/>
      <c r="O328" s="106" t="s">
        <v>348</v>
      </c>
    </row>
    <row r="329" spans="1:16" x14ac:dyDescent="0.25">
      <c r="A329" s="60" t="s">
        <v>349</v>
      </c>
      <c r="B329" s="3">
        <v>0.29099999999999998</v>
      </c>
      <c r="C329" s="3" t="s">
        <v>101</v>
      </c>
      <c r="F329" s="9" t="s">
        <v>350</v>
      </c>
      <c r="G329" s="9"/>
      <c r="H329" s="4"/>
      <c r="I329" s="95">
        <v>513</v>
      </c>
      <c r="J329" s="97"/>
      <c r="O329" s="106"/>
    </row>
    <row r="330" spans="1:16" x14ac:dyDescent="0.25">
      <c r="A330" s="19" t="s">
        <v>351</v>
      </c>
      <c r="B330" s="19"/>
      <c r="C330" s="19"/>
      <c r="D330" s="19"/>
      <c r="E330" s="19" t="s">
        <v>352</v>
      </c>
      <c r="O330" s="106"/>
    </row>
    <row r="331" spans="1:16" x14ac:dyDescent="0.25">
      <c r="A331" t="s">
        <v>353</v>
      </c>
      <c r="O331" s="105" t="s">
        <v>354</v>
      </c>
      <c r="P331" s="105"/>
    </row>
    <row r="336" spans="1:16" x14ac:dyDescent="0.25">
      <c r="G336" s="3" t="s">
        <v>355</v>
      </c>
      <c r="H336" s="3">
        <v>0.52</v>
      </c>
    </row>
    <row r="354" spans="1:16" x14ac:dyDescent="0.25">
      <c r="G354" s="3" t="s">
        <v>356</v>
      </c>
      <c r="H354" s="3">
        <f>(0.5*B328*I247*I248*I249*I235*I238*I234)/(I285)</f>
        <v>2.5268821891596298</v>
      </c>
    </row>
    <row r="358" spans="1:16" x14ac:dyDescent="0.25">
      <c r="A358" t="s">
        <v>357</v>
      </c>
    </row>
    <row r="364" spans="1:16" x14ac:dyDescent="0.25">
      <c r="A364" s="1" t="s">
        <v>358</v>
      </c>
      <c r="O364" s="105" t="s">
        <v>359</v>
      </c>
      <c r="P364" s="105"/>
    </row>
    <row r="365" spans="1:16" x14ac:dyDescent="0.25">
      <c r="A365" s="13" t="s">
        <v>360</v>
      </c>
      <c r="B365" s="91" t="s">
        <v>361</v>
      </c>
      <c r="C365" s="91"/>
      <c r="D365" s="91"/>
      <c r="E365" s="13" t="s">
        <v>362</v>
      </c>
      <c r="F365" s="91" t="s">
        <v>363</v>
      </c>
      <c r="G365" s="91"/>
    </row>
    <row r="366" spans="1:16" x14ac:dyDescent="0.25">
      <c r="A366" s="13" t="s">
        <v>364</v>
      </c>
      <c r="B366" s="91">
        <f>B328</f>
        <v>302</v>
      </c>
      <c r="C366" s="91"/>
      <c r="D366" s="13" t="s">
        <v>146</v>
      </c>
      <c r="E366" s="13">
        <f>I328</f>
        <v>53</v>
      </c>
      <c r="F366" s="91">
        <f>I329</f>
        <v>513</v>
      </c>
      <c r="G366" s="91"/>
    </row>
    <row r="367" spans="1:16" x14ac:dyDescent="0.25">
      <c r="B367" s="10"/>
      <c r="C367" s="10"/>
      <c r="D367" s="10"/>
      <c r="F367" s="10"/>
      <c r="G367" s="10"/>
    </row>
    <row r="368" spans="1:16" x14ac:dyDescent="0.25">
      <c r="A368" s="1" t="s">
        <v>365</v>
      </c>
      <c r="E368" s="1" t="s">
        <v>366</v>
      </c>
    </row>
    <row r="369" spans="1:16" x14ac:dyDescent="0.25">
      <c r="A369" s="3" t="s">
        <v>367</v>
      </c>
      <c r="B369" s="3"/>
      <c r="C369" s="3" t="s">
        <v>368</v>
      </c>
      <c r="E369" s="3"/>
      <c r="F369" s="3" t="s">
        <v>368</v>
      </c>
      <c r="G369" s="3" t="s">
        <v>136</v>
      </c>
      <c r="H369" s="3" t="s">
        <v>139</v>
      </c>
      <c r="I369" s="3" t="s">
        <v>142</v>
      </c>
      <c r="J369" s="3" t="s">
        <v>143</v>
      </c>
    </row>
    <row r="370" spans="1:16" x14ac:dyDescent="0.25">
      <c r="A370" s="3" t="s">
        <v>369</v>
      </c>
      <c r="B370" s="3">
        <f>H336</f>
        <v>0.52</v>
      </c>
      <c r="C370" s="3"/>
      <c r="E370" s="3" t="s">
        <v>370</v>
      </c>
      <c r="F370" s="3" t="s">
        <v>371</v>
      </c>
      <c r="G370" s="3">
        <f>I97</f>
        <v>4</v>
      </c>
      <c r="H370" s="3">
        <f>I97</f>
        <v>4</v>
      </c>
      <c r="I370" s="3">
        <f>I97</f>
        <v>4</v>
      </c>
      <c r="J370" s="3">
        <f>I97</f>
        <v>4</v>
      </c>
    </row>
    <row r="371" spans="1:16" x14ac:dyDescent="0.25">
      <c r="A371" s="3" t="s">
        <v>372</v>
      </c>
      <c r="B371" s="3">
        <f>I247</f>
        <v>1</v>
      </c>
      <c r="C371" s="3"/>
      <c r="E371" s="3" t="s">
        <v>373</v>
      </c>
      <c r="F371" s="3" t="s">
        <v>316</v>
      </c>
      <c r="G371" s="3">
        <f>I123</f>
        <v>0.78539816339744828</v>
      </c>
      <c r="H371" s="20">
        <f>I123</f>
        <v>0.78539816339744828</v>
      </c>
      <c r="I371" s="3">
        <f>I123</f>
        <v>0.78539816339744828</v>
      </c>
      <c r="J371" s="3">
        <f>I123</f>
        <v>0.78539816339744828</v>
      </c>
      <c r="P371" t="s">
        <v>374</v>
      </c>
    </row>
    <row r="372" spans="1:16" x14ac:dyDescent="0.25">
      <c r="A372" s="3" t="s">
        <v>300</v>
      </c>
      <c r="B372" s="3">
        <f>I248</f>
        <v>0.85</v>
      </c>
      <c r="C372" s="3"/>
      <c r="E372" s="3" t="s">
        <v>375</v>
      </c>
      <c r="F372" s="3" t="s">
        <v>376</v>
      </c>
      <c r="G372" s="3">
        <f>I80</f>
        <v>9</v>
      </c>
      <c r="H372" s="3">
        <f>I81</f>
        <v>40</v>
      </c>
      <c r="I372" s="3">
        <f>I80</f>
        <v>9</v>
      </c>
      <c r="J372" s="3">
        <f>I81</f>
        <v>40</v>
      </c>
    </row>
    <row r="373" spans="1:16" x14ac:dyDescent="0.25">
      <c r="A373" s="3" t="s">
        <v>377</v>
      </c>
      <c r="B373" s="3">
        <f>I37</f>
        <v>20</v>
      </c>
      <c r="C373" s="3" t="s">
        <v>378</v>
      </c>
      <c r="E373" s="3" t="s">
        <v>379</v>
      </c>
      <c r="F373" s="3" t="s">
        <v>316</v>
      </c>
      <c r="G373" s="3">
        <f>I102</f>
        <v>2.25</v>
      </c>
      <c r="H373" s="3">
        <f>I103</f>
        <v>10</v>
      </c>
      <c r="I373" s="3">
        <f>I102</f>
        <v>2.25</v>
      </c>
      <c r="J373" s="3">
        <f>I103</f>
        <v>10</v>
      </c>
    </row>
    <row r="374" spans="1:16" x14ac:dyDescent="0.25">
      <c r="A374" s="3" t="s">
        <v>380</v>
      </c>
      <c r="B374" s="3">
        <f>I38</f>
        <v>0.3490658503988659</v>
      </c>
      <c r="C374" s="3" t="s">
        <v>381</v>
      </c>
      <c r="E374" s="3" t="s">
        <v>382</v>
      </c>
      <c r="F374" s="3" t="s">
        <v>127</v>
      </c>
      <c r="G374" s="3">
        <f>B4</f>
        <v>1600</v>
      </c>
      <c r="H374" s="21">
        <f>I91</f>
        <v>360</v>
      </c>
      <c r="I374" s="3">
        <f>H374</f>
        <v>360</v>
      </c>
      <c r="J374" s="3">
        <f>I87</f>
        <v>81</v>
      </c>
    </row>
    <row r="375" spans="1:16" x14ac:dyDescent="0.25">
      <c r="A375" s="22"/>
      <c r="B375" s="22"/>
      <c r="C375" s="22"/>
      <c r="E375" s="3" t="s">
        <v>383</v>
      </c>
      <c r="F375" s="3" t="s">
        <v>195</v>
      </c>
      <c r="G375" s="3">
        <f>I110</f>
        <v>595.23948716368864</v>
      </c>
      <c r="H375" s="21">
        <f>G375</f>
        <v>595.23948716368864</v>
      </c>
      <c r="I375" s="3">
        <f>I111</f>
        <v>2645.5088318386161</v>
      </c>
      <c r="J375" s="3">
        <f>I111</f>
        <v>2645.5088318386161</v>
      </c>
    </row>
    <row r="376" spans="1:16" x14ac:dyDescent="0.25">
      <c r="A376" s="3" t="s">
        <v>384</v>
      </c>
      <c r="B376" s="3">
        <f>F18</f>
        <v>0.05</v>
      </c>
      <c r="C376" s="3"/>
      <c r="E376" s="3" t="s">
        <v>385</v>
      </c>
      <c r="F376" s="3" t="s">
        <v>195</v>
      </c>
      <c r="G376" s="3">
        <f>I113</f>
        <v>216.64945558746189</v>
      </c>
      <c r="H376" s="21">
        <f>G376</f>
        <v>216.64945558746189</v>
      </c>
      <c r="I376" s="3">
        <f>I114</f>
        <v>962.8864692776084</v>
      </c>
      <c r="J376" s="3">
        <f>I376</f>
        <v>962.8864692776084</v>
      </c>
    </row>
    <row r="377" spans="1:16" x14ac:dyDescent="0.25">
      <c r="A377" s="3" t="s">
        <v>386</v>
      </c>
      <c r="B377" s="3">
        <f>H354</f>
        <v>2.5268821891596298</v>
      </c>
      <c r="C377" s="3"/>
      <c r="E377" s="3" t="s">
        <v>387</v>
      </c>
      <c r="F377" s="3" t="s">
        <v>254</v>
      </c>
      <c r="G377" s="3">
        <f>H157</f>
        <v>942.47779607693792</v>
      </c>
      <c r="H377" s="3">
        <f>H157</f>
        <v>942.47779607693792</v>
      </c>
      <c r="I377" s="3">
        <f>H158</f>
        <v>212.05750411731103</v>
      </c>
      <c r="J377" s="3">
        <f>H158</f>
        <v>212.05750411731103</v>
      </c>
    </row>
    <row r="378" spans="1:16" x14ac:dyDescent="0.25">
      <c r="A378" s="3" t="s">
        <v>388</v>
      </c>
      <c r="B378" s="3">
        <f>I284</f>
        <v>4</v>
      </c>
      <c r="C378" s="3" t="s">
        <v>316</v>
      </c>
      <c r="E378" s="3" t="s">
        <v>389</v>
      </c>
      <c r="F378" s="3" t="s">
        <v>390</v>
      </c>
      <c r="G378" s="3">
        <f>G377/60</f>
        <v>15.707963267948966</v>
      </c>
      <c r="H378" s="3">
        <f>H377/60</f>
        <v>15.707963267948966</v>
      </c>
      <c r="I378" s="3">
        <f>I377/60</f>
        <v>3.5342917352885173</v>
      </c>
      <c r="J378" s="3">
        <f>J377/60</f>
        <v>3.5342917352885173</v>
      </c>
    </row>
    <row r="397" spans="1:20" x14ac:dyDescent="0.25">
      <c r="A397" t="s">
        <v>65</v>
      </c>
      <c r="K397" s="1" t="s">
        <v>391</v>
      </c>
      <c r="T397" s="65"/>
    </row>
    <row r="398" spans="1:20" x14ac:dyDescent="0.25">
      <c r="G398" s="91" t="s">
        <v>68</v>
      </c>
      <c r="H398" s="91"/>
      <c r="I398" s="3" t="s">
        <v>69</v>
      </c>
      <c r="J398" s="3" t="s">
        <v>70</v>
      </c>
      <c r="K398" s="3"/>
      <c r="L398" s="3" t="s">
        <v>392</v>
      </c>
      <c r="M398" s="3" t="s">
        <v>393</v>
      </c>
      <c r="N398" s="3" t="s">
        <v>394</v>
      </c>
      <c r="O398" s="3" t="s">
        <v>395</v>
      </c>
      <c r="P398" s="3" t="s">
        <v>396</v>
      </c>
      <c r="Q398" s="3" t="s">
        <v>397</v>
      </c>
      <c r="R398" s="3" t="s">
        <v>398</v>
      </c>
      <c r="S398" s="3" t="s">
        <v>399</v>
      </c>
      <c r="T398" s="65"/>
    </row>
    <row r="399" spans="1:20" x14ac:dyDescent="0.25">
      <c r="G399" s="101" t="s">
        <v>86</v>
      </c>
      <c r="H399" s="101"/>
      <c r="I399" s="13" t="s">
        <v>87</v>
      </c>
      <c r="J399" s="3">
        <f>4</f>
        <v>4</v>
      </c>
      <c r="K399" s="3" t="s">
        <v>88</v>
      </c>
      <c r="L399" s="3">
        <f>Q292</f>
        <v>-595.23948716368864</v>
      </c>
      <c r="M399" s="3">
        <f>Q286</f>
        <v>-212.02130056010157</v>
      </c>
      <c r="N399" s="22"/>
      <c r="O399" s="22"/>
      <c r="P399" s="21">
        <f>L95</f>
        <v>3.045275590551181</v>
      </c>
      <c r="Q399" s="22"/>
      <c r="R399" s="21">
        <f>L96+L95</f>
        <v>5.840551181102362</v>
      </c>
      <c r="S399" s="22"/>
    </row>
    <row r="400" spans="1:20" x14ac:dyDescent="0.25">
      <c r="G400" s="101" t="s">
        <v>91</v>
      </c>
      <c r="H400" s="101"/>
      <c r="I400" s="13" t="s">
        <v>400</v>
      </c>
      <c r="J400" s="3">
        <v>1</v>
      </c>
      <c r="K400" s="3" t="s">
        <v>92</v>
      </c>
      <c r="L400" s="3">
        <f>Q293</f>
        <v>595.23948716368864</v>
      </c>
      <c r="M400" s="3">
        <f>Q287</f>
        <v>308.06980180692483</v>
      </c>
      <c r="N400" s="3">
        <f>Q294</f>
        <v>-2645.5088318386161</v>
      </c>
      <c r="O400" s="3">
        <f>Q288</f>
        <v>967.51462430496872</v>
      </c>
      <c r="P400" s="21">
        <f>P96</f>
        <v>3.0059055118110236</v>
      </c>
      <c r="Q400" s="21">
        <f>P96+L99</f>
        <v>10.765748031496063</v>
      </c>
      <c r="R400" s="21">
        <f>P96+L99+P97</f>
        <v>13.968503937007874</v>
      </c>
      <c r="S400" s="3">
        <f>P96+(T36/2)+(T48/4)</f>
        <v>5.9458661417322842</v>
      </c>
    </row>
    <row r="401" spans="7:19" x14ac:dyDescent="0.25">
      <c r="G401" s="101" t="s">
        <v>94</v>
      </c>
      <c r="H401" s="101"/>
      <c r="I401" s="13" t="s">
        <v>95</v>
      </c>
      <c r="J401" s="3">
        <v>0.75</v>
      </c>
      <c r="K401" s="3" t="s">
        <v>96</v>
      </c>
      <c r="L401" s="3">
        <f>Q295</f>
        <v>2645.5088318386161</v>
      </c>
      <c r="M401" s="3">
        <f>Q289</f>
        <v>-871.4661230581454</v>
      </c>
      <c r="N401" s="22"/>
      <c r="O401" s="22"/>
      <c r="P401" s="21">
        <f>L97</f>
        <v>2.8346456692913384</v>
      </c>
      <c r="Q401" s="22"/>
      <c r="R401" s="21">
        <f>L97+L98</f>
        <v>5.9192913385826769</v>
      </c>
      <c r="S401" s="22"/>
    </row>
    <row r="402" spans="7:19" x14ac:dyDescent="0.25">
      <c r="G402" s="101" t="s">
        <v>98</v>
      </c>
      <c r="H402" s="101"/>
      <c r="I402" s="13" t="s">
        <v>99</v>
      </c>
      <c r="J402" s="3">
        <v>0.75</v>
      </c>
      <c r="K402" s="1" t="s">
        <v>401</v>
      </c>
      <c r="P402" s="1" t="s">
        <v>402</v>
      </c>
    </row>
    <row r="403" spans="7:19" x14ac:dyDescent="0.25">
      <c r="G403" s="101" t="s">
        <v>104</v>
      </c>
      <c r="H403" s="101"/>
      <c r="I403" s="13" t="s">
        <v>105</v>
      </c>
      <c r="J403" s="3">
        <v>0.5</v>
      </c>
      <c r="K403" s="3"/>
      <c r="L403" s="3" t="s">
        <v>403</v>
      </c>
      <c r="M403" s="3" t="s">
        <v>404</v>
      </c>
      <c r="N403" s="3" t="s">
        <v>405</v>
      </c>
      <c r="O403" s="3" t="s">
        <v>406</v>
      </c>
      <c r="P403" s="3" t="s">
        <v>407</v>
      </c>
      <c r="Q403" s="3" t="s">
        <v>408</v>
      </c>
      <c r="R403" s="3" t="s">
        <v>409</v>
      </c>
    </row>
    <row r="404" spans="7:19" x14ac:dyDescent="0.25">
      <c r="G404" s="101" t="s">
        <v>106</v>
      </c>
      <c r="H404" s="101"/>
      <c r="I404" s="13" t="s">
        <v>107</v>
      </c>
      <c r="J404" s="9">
        <v>0.25</v>
      </c>
      <c r="K404" s="63" t="s">
        <v>88</v>
      </c>
      <c r="L404" s="62"/>
      <c r="M404" s="62"/>
      <c r="N404" s="62"/>
      <c r="O404" s="62"/>
      <c r="P404" s="62"/>
      <c r="Q404" s="62"/>
      <c r="R404" s="62"/>
    </row>
    <row r="405" spans="7:19" x14ac:dyDescent="0.25">
      <c r="G405" s="101" t="s">
        <v>108</v>
      </c>
      <c r="H405" s="101"/>
      <c r="I405" s="13" t="s">
        <v>109</v>
      </c>
      <c r="J405" s="9">
        <v>1.5</v>
      </c>
      <c r="K405" s="3" t="s">
        <v>410</v>
      </c>
      <c r="L405" s="3">
        <f>L399*($R$399-$P$399)/$R$399</f>
        <v>-284.88037471265181</v>
      </c>
      <c r="M405" s="3">
        <f>M399*($R$399-$P$399)/$R$399</f>
        <v>-101.47295139715006</v>
      </c>
      <c r="N405" s="3">
        <v>0</v>
      </c>
      <c r="O405" s="3">
        <v>0</v>
      </c>
      <c r="P405" s="3">
        <f>SQRT((L405^2)+(M405^2))</f>
        <v>302.41294245066507</v>
      </c>
      <c r="Q405" s="3">
        <f>SQRT((N405^2)+(O405^2))</f>
        <v>0</v>
      </c>
      <c r="R405" s="3">
        <v>0</v>
      </c>
    </row>
    <row r="406" spans="7:19" x14ac:dyDescent="0.25">
      <c r="G406" s="101" t="s">
        <v>111</v>
      </c>
      <c r="H406" s="101"/>
      <c r="I406" s="13" t="s">
        <v>24</v>
      </c>
      <c r="J406" s="9">
        <v>0.75</v>
      </c>
      <c r="K406" s="3" t="s">
        <v>411</v>
      </c>
      <c r="L406" s="3">
        <f>L399*($R$399-$P$399)/$R$399</f>
        <v>-284.88037471265181</v>
      </c>
      <c r="M406" s="3">
        <f>M399*($R$399-$P$399)/$R$399</f>
        <v>-101.47295139715006</v>
      </c>
      <c r="N406" s="3">
        <f>L399*($R$399-$P$399)*($P$399/2)/$R$399</f>
        <v>-433.76962566975618</v>
      </c>
      <c r="O406" s="3">
        <f>M399*($R$399-$P$399)*($P$399/2)/$R$399</f>
        <v>-154.50655099546373</v>
      </c>
      <c r="P406" s="3">
        <f t="shared" ref="P406" si="14">SQRT((L406^2)+(M406^2))</f>
        <v>302.41294245066507</v>
      </c>
      <c r="Q406" s="3">
        <f t="shared" ref="Q406" si="15">SQRT((N406^2)+(O406^2))</f>
        <v>460.46537595588467</v>
      </c>
      <c r="R406" s="3">
        <f>P399/2</f>
        <v>1.5226377952755905</v>
      </c>
    </row>
    <row r="407" spans="7:19" x14ac:dyDescent="0.25">
      <c r="G407" s="101" t="s">
        <v>112</v>
      </c>
      <c r="H407" s="101"/>
      <c r="I407" s="13" t="s">
        <v>412</v>
      </c>
      <c r="J407" s="9">
        <v>1</v>
      </c>
      <c r="K407" s="3" t="s">
        <v>413</v>
      </c>
      <c r="L407" s="3" t="s">
        <v>414</v>
      </c>
      <c r="M407" s="3" t="s">
        <v>414</v>
      </c>
      <c r="N407" s="3">
        <f>L399*($R$399-$P$399)*($P$399)/$R$399</f>
        <v>-867.53925133951236</v>
      </c>
      <c r="O407" s="3">
        <f>M399*($R$399-$P$399)*($P$399)/$R$399</f>
        <v>-309.01310199092745</v>
      </c>
      <c r="P407" s="3" t="s">
        <v>414</v>
      </c>
      <c r="Q407" s="3">
        <f>SQRT((N407^2)+(O407^2))</f>
        <v>920.93075191176933</v>
      </c>
      <c r="R407" s="21">
        <f>P399</f>
        <v>3.045275590551181</v>
      </c>
    </row>
    <row r="408" spans="7:19" x14ac:dyDescent="0.25">
      <c r="G408" s="101" t="s">
        <v>114</v>
      </c>
      <c r="H408" s="101"/>
      <c r="I408" s="13" t="s">
        <v>115</v>
      </c>
      <c r="J408" s="9">
        <v>0.5</v>
      </c>
      <c r="K408" s="3" t="s">
        <v>415</v>
      </c>
      <c r="L408" s="3">
        <f>-L399*$P$399/$R$399</f>
        <v>310.35911245103688</v>
      </c>
      <c r="M408" s="3">
        <f>-M399*$P$399/$R$399</f>
        <v>110.5483491629515</v>
      </c>
      <c r="N408" s="3">
        <f>-L399*$P$399*($R$399-$P$399+($R$399-$P$399)/2)/$R$399+L399*($R$399-$P$399)*($P$399)/$R$399</f>
        <v>433.76962566975624</v>
      </c>
      <c r="O408" s="3">
        <f>+M399*$P$399*($R$399-$P$399+($R$399-$P$399)/2)/$R$399-M399*($R$399-$P$399)*($P$399)/$R$399</f>
        <v>-154.50655099546367</v>
      </c>
      <c r="P408" s="3">
        <f>SQRT((L408^2)+(M408^2))</f>
        <v>329.45973378252035</v>
      </c>
      <c r="Q408" s="3">
        <f>SQRT((N408^2)+(O408^2))</f>
        <v>460.46537595588472</v>
      </c>
      <c r="R408" s="3">
        <f>P399+(R399-P399)/2</f>
        <v>4.4429133858267713</v>
      </c>
    </row>
    <row r="409" spans="7:19" x14ac:dyDescent="0.25">
      <c r="G409" s="101" t="s">
        <v>116</v>
      </c>
      <c r="H409" s="101"/>
      <c r="I409" s="13" t="s">
        <v>117</v>
      </c>
      <c r="J409" s="9">
        <v>0.75</v>
      </c>
      <c r="K409" s="3" t="s">
        <v>416</v>
      </c>
      <c r="L409" s="22" t="s">
        <v>414</v>
      </c>
      <c r="M409" s="22" t="s">
        <v>414</v>
      </c>
      <c r="N409" s="22" t="s">
        <v>414</v>
      </c>
      <c r="O409" s="22" t="s">
        <v>414</v>
      </c>
      <c r="P409" s="22" t="e">
        <f>SQRT((L409^2)+(M409^2))</f>
        <v>#VALUE!</v>
      </c>
      <c r="Q409" s="22" t="e">
        <f>SQRT((N409^2)+(O409^2))</f>
        <v>#VALUE!</v>
      </c>
      <c r="R409" s="22"/>
    </row>
    <row r="410" spans="7:19" x14ac:dyDescent="0.25">
      <c r="G410" s="101" t="s">
        <v>120</v>
      </c>
      <c r="H410" s="101"/>
      <c r="I410" s="13" t="s">
        <v>80</v>
      </c>
      <c r="J410" s="9">
        <v>0.25</v>
      </c>
      <c r="K410" s="3" t="s">
        <v>417</v>
      </c>
      <c r="L410" s="22" t="s">
        <v>414</v>
      </c>
      <c r="M410" s="22" t="s">
        <v>414</v>
      </c>
      <c r="N410" s="22" t="s">
        <v>414</v>
      </c>
      <c r="O410" s="22" t="s">
        <v>414</v>
      </c>
      <c r="P410" s="22" t="e">
        <f>SQRT((L410^2)+(M410^2))</f>
        <v>#VALUE!</v>
      </c>
      <c r="Q410" s="22" t="e">
        <f>SQRT((N410^2)+(O410^2))</f>
        <v>#VALUE!</v>
      </c>
      <c r="R410" s="22"/>
    </row>
    <row r="411" spans="7:19" x14ac:dyDescent="0.25">
      <c r="G411" s="101" t="s">
        <v>121</v>
      </c>
      <c r="H411" s="101"/>
      <c r="I411" s="13" t="s">
        <v>122</v>
      </c>
      <c r="J411" s="9">
        <v>4</v>
      </c>
      <c r="K411" s="3" t="s">
        <v>418</v>
      </c>
      <c r="L411" s="3">
        <f>-L399*$P$399/$R$399</f>
        <v>310.35911245103688</v>
      </c>
      <c r="M411" s="3">
        <f>-M399*$P$399/$R$399</f>
        <v>110.5483491629515</v>
      </c>
      <c r="N411" s="3">
        <v>0</v>
      </c>
      <c r="O411" s="3">
        <v>0</v>
      </c>
      <c r="P411" s="3">
        <f>SQRT((L411^2)+(M411^2))</f>
        <v>329.45973378252035</v>
      </c>
      <c r="Q411" s="3">
        <f>SQRT((N411^2)+(O411^2))</f>
        <v>0</v>
      </c>
      <c r="R411" s="21">
        <f>R399</f>
        <v>5.840551181102362</v>
      </c>
    </row>
    <row r="412" spans="7:19" x14ac:dyDescent="0.25">
      <c r="G412" s="102"/>
      <c r="H412" s="102"/>
      <c r="I412" s="10"/>
      <c r="K412" s="63" t="s">
        <v>92</v>
      </c>
      <c r="L412" s="62"/>
      <c r="M412" s="62"/>
      <c r="N412" s="62"/>
      <c r="O412" s="62"/>
      <c r="P412" s="62"/>
      <c r="Q412" s="62"/>
      <c r="R412" s="62"/>
    </row>
    <row r="413" spans="7:19" x14ac:dyDescent="0.25">
      <c r="G413" s="102"/>
      <c r="H413" s="102"/>
      <c r="I413" s="10"/>
      <c r="K413" s="3" t="s">
        <v>410</v>
      </c>
      <c r="L413" s="3">
        <f>(L400*($R$400-$P$400)/$R$400)+(N400*($R$400-$Q$400)/$R$400)</f>
        <v>-139.42420594515886</v>
      </c>
      <c r="M413" s="3">
        <f>(M400*($R$400-$P$400)/$R$400)+(O400*($R$400-$Q$400)/$R$400)</f>
        <v>463.61147407087776</v>
      </c>
      <c r="N413" s="3">
        <v>0</v>
      </c>
      <c r="O413" s="3">
        <v>0</v>
      </c>
      <c r="P413" s="3">
        <f t="shared" ref="P413:P419" si="16">SQRT((L413^2)+(M413^2))</f>
        <v>484.12261679621025</v>
      </c>
      <c r="Q413" s="3">
        <f t="shared" ref="Q413:Q419" si="17">SQRT((N413^2)+(O413^2))</f>
        <v>0</v>
      </c>
      <c r="R413" s="3">
        <v>0</v>
      </c>
    </row>
    <row r="414" spans="7:19" x14ac:dyDescent="0.25">
      <c r="G414" s="1" t="s">
        <v>128</v>
      </c>
      <c r="K414" s="3" t="s">
        <v>411</v>
      </c>
      <c r="L414" s="3">
        <f>(L400*($R$400-$P$400)/$R$400)+(N400*($R$400-$Q$400)/$R$400)</f>
        <v>-139.42420594515886</v>
      </c>
      <c r="M414" s="3">
        <f>(M400*($R$400-$P$400)/$R$400)+(O400*($R$400-$Q$400)/$R$400)</f>
        <v>463.61147407087776</v>
      </c>
      <c r="N414" s="3">
        <f>(L400*($R$400-$P$400)*($P$400/2)/$R$400)+(N400*($R$400-$Q$400)*($P$400/2)/$R$400)</f>
        <v>-209.54799456521414</v>
      </c>
      <c r="O414" s="3">
        <f>(M400*($R$400-$P$400)*($P$400/2)/$R$400)+(O400*($R$400-$Q$400)*($P$400/2)/$R$400)</f>
        <v>696.78614262424253</v>
      </c>
      <c r="P414" s="3">
        <f t="shared" si="16"/>
        <v>484.12261679621025</v>
      </c>
      <c r="Q414" s="3">
        <f t="shared" si="17"/>
        <v>727.61342111005229</v>
      </c>
      <c r="R414" s="3">
        <f>P400/2</f>
        <v>1.5029527559055118</v>
      </c>
    </row>
    <row r="415" spans="7:19" x14ac:dyDescent="0.25">
      <c r="G415" s="3" t="s">
        <v>131</v>
      </c>
      <c r="H415" s="101" t="s">
        <v>132</v>
      </c>
      <c r="I415" s="101"/>
      <c r="K415" s="3" t="s">
        <v>413</v>
      </c>
      <c r="L415" s="3" t="s">
        <v>414</v>
      </c>
      <c r="M415" s="3" t="s">
        <v>414</v>
      </c>
      <c r="N415" s="3">
        <f>(L400*($R$400-$P$400)*($P$400)/$R$400)+(N400*($R$400-$Q$400)*($P$400)/$R$400)</f>
        <v>-419.09598913042828</v>
      </c>
      <c r="O415" s="3">
        <f>(M400*($R$400-$P$400)*($P$400)/$R$400)+(O400*($R$400-$Q$400)*($P$400)/$R$400)</f>
        <v>1393.5722852484851</v>
      </c>
      <c r="P415" s="3" t="s">
        <v>414</v>
      </c>
      <c r="Q415" s="3">
        <f t="shared" si="17"/>
        <v>1455.2268422201046</v>
      </c>
      <c r="R415" s="21">
        <f>P400</f>
        <v>3.0059055118110236</v>
      </c>
    </row>
    <row r="416" spans="7:19" x14ac:dyDescent="0.25">
      <c r="G416" s="3" t="s">
        <v>134</v>
      </c>
      <c r="H416" s="101" t="s">
        <v>135</v>
      </c>
      <c r="I416" s="101"/>
      <c r="K416" s="3" t="s">
        <v>415</v>
      </c>
      <c r="L416" s="3">
        <f>(-L400*$P$400/$R$400)+(N400*($R$400-$Q$400)/$R$400)</f>
        <v>-734.66369310884738</v>
      </c>
      <c r="M416" s="3">
        <f>(-M400*$P$400/$R$400)+(O400*($R$400-$Q$400)/$R$400)</f>
        <v>155.54167226395293</v>
      </c>
      <c r="N416" s="3">
        <f>(L400*$P$400/$R$400*($R$400-$S$400))+(N400*$S$400*($R$400-$Q$400)/$R$400)</f>
        <v>-2578.9783231029951</v>
      </c>
      <c r="O416" s="3">
        <f>(M400*$P$400/$R$400*($R$400-$S$400))+(O400*$S$400*($R$400-$Q$400)/$R$400)</f>
        <v>1850.858678016622</v>
      </c>
      <c r="P416" s="3">
        <f t="shared" si="16"/>
        <v>750.94870249771236</v>
      </c>
      <c r="Q416" s="3">
        <f t="shared" si="17"/>
        <v>3174.3986890471988</v>
      </c>
      <c r="R416" s="3">
        <f>S400</f>
        <v>5.9458661417322842</v>
      </c>
    </row>
    <row r="417" spans="1:19" x14ac:dyDescent="0.25">
      <c r="G417" s="3" t="s">
        <v>137</v>
      </c>
      <c r="H417" s="101" t="s">
        <v>138</v>
      </c>
      <c r="I417" s="101"/>
      <c r="K417" s="3" t="s">
        <v>416</v>
      </c>
      <c r="L417" s="3" t="s">
        <v>414</v>
      </c>
      <c r="M417" s="3" t="s">
        <v>414</v>
      </c>
      <c r="N417" s="3">
        <f>(L400*$P$400/$R$400*($R$400-$Q$400))+(N400*$Q$400*($R$400-$Q$400)/$R$400)</f>
        <v>-6119.9705525853024</v>
      </c>
      <c r="O417" s="3">
        <f>(M400*$P$400/$R$400*($R$400-$Q$400))+(O400*$Q$400*($R$400-$Q$400)/$R$400)</f>
        <v>2600.5511672652219</v>
      </c>
      <c r="P417" s="3" t="s">
        <v>414</v>
      </c>
      <c r="Q417" s="3">
        <f t="shared" si="17"/>
        <v>6649.5793805379726</v>
      </c>
      <c r="R417" s="21">
        <f>Q400</f>
        <v>10.765748031496063</v>
      </c>
    </row>
    <row r="418" spans="1:19" x14ac:dyDescent="0.25">
      <c r="G418" s="3" t="s">
        <v>140</v>
      </c>
      <c r="H418" s="101" t="s">
        <v>141</v>
      </c>
      <c r="I418" s="101"/>
      <c r="K418" s="3" t="s">
        <v>417</v>
      </c>
      <c r="L418" s="3">
        <f>(-L400*$P$400/$R$400)+(-N400*($Q$400)/$R$400)</f>
        <v>1910.8451387297689</v>
      </c>
      <c r="M418" s="3">
        <f>(-M400*$P$400/$R$400)+(-O400*($Q$400)/$R$400)</f>
        <v>-811.9729520410159</v>
      </c>
      <c r="N418" s="3">
        <f>((L400*$P$400/$R$400)+(N400*$Q$400/$R$400))*($R$400-($Q$400+($R$400-$Q$400)/2))</f>
        <v>-3059.9852762926516</v>
      </c>
      <c r="O418" s="3">
        <f>((M400*$P$400/$R$400)+(O400*$Q$400/$R$400))*($R$400-($Q$400+($R$400-$Q$400)/2))</f>
        <v>1300.2755836326112</v>
      </c>
      <c r="P418" s="3">
        <f t="shared" si="16"/>
        <v>2076.2054857487956</v>
      </c>
      <c r="Q418" s="3">
        <f t="shared" si="17"/>
        <v>3324.7896902689863</v>
      </c>
      <c r="R418" s="3">
        <f>Q400+(R400-Q400)/2</f>
        <v>12.367125984251969</v>
      </c>
    </row>
    <row r="419" spans="1:19" x14ac:dyDescent="0.25">
      <c r="K419" s="3" t="s">
        <v>418</v>
      </c>
      <c r="L419" s="3">
        <f>(-L400*$P$400/$R$400)+(-N400*($Q$400)/$R$400)</f>
        <v>1910.8451387297689</v>
      </c>
      <c r="M419" s="3">
        <f>(-M400*$P$400/$R$400)+(-O400*($Q$400)/$R$400)</f>
        <v>-811.9729520410159</v>
      </c>
      <c r="N419" s="3">
        <v>0</v>
      </c>
      <c r="O419" s="3">
        <v>0</v>
      </c>
      <c r="P419" s="3">
        <f t="shared" si="16"/>
        <v>2076.2054857487956</v>
      </c>
      <c r="Q419" s="3">
        <f t="shared" si="17"/>
        <v>0</v>
      </c>
      <c r="R419" s="21">
        <f>R400</f>
        <v>13.968503937007874</v>
      </c>
    </row>
    <row r="420" spans="1:19" x14ac:dyDescent="0.25">
      <c r="G420" s="1"/>
      <c r="K420" s="63" t="s">
        <v>96</v>
      </c>
      <c r="L420" s="62"/>
      <c r="M420" s="62"/>
      <c r="N420" s="62"/>
      <c r="O420" s="62"/>
      <c r="P420" s="62"/>
      <c r="Q420" s="62"/>
      <c r="R420" s="62"/>
    </row>
    <row r="421" spans="1:19" x14ac:dyDescent="0.25">
      <c r="K421" s="3" t="s">
        <v>410</v>
      </c>
      <c r="L421" s="3">
        <f>L401*($R$401-$P$401)/$R$401</f>
        <v>1378.6206649454975</v>
      </c>
      <c r="M421" s="3">
        <f>M401*($R$401-$P$401)/$R$401</f>
        <v>-454.13615391822873</v>
      </c>
      <c r="N421" s="3">
        <v>0</v>
      </c>
      <c r="O421" s="3">
        <v>0</v>
      </c>
      <c r="P421" s="3">
        <f t="shared" ref="P421:P427" si="18">SQRT((L421^2)+(M421^2))</f>
        <v>1451.4939145964088</v>
      </c>
      <c r="Q421" s="3">
        <f t="shared" ref="Q421:Q427" si="19">SQRT((N421^2)+(O421^2))</f>
        <v>0</v>
      </c>
      <c r="R421" s="3">
        <v>0</v>
      </c>
    </row>
    <row r="422" spans="1:19" x14ac:dyDescent="0.25">
      <c r="K422" s="3" t="s">
        <v>411</v>
      </c>
      <c r="L422" s="3">
        <f>L401*($R$401-$P$401)/$R$401</f>
        <v>1378.6206649454975</v>
      </c>
      <c r="M422" s="3">
        <f>M401*($R$401-$P$401)/$R$401</f>
        <v>-454.13615391822873</v>
      </c>
      <c r="N422" s="3">
        <f>L401*($R$401-$P$401)*($P$401/2)/$R$401</f>
        <v>1953.95054874165</v>
      </c>
      <c r="O422" s="3">
        <f>M401*($R$401-$P$401)*($P$401/2)/$R$401</f>
        <v>-643.65754098646585</v>
      </c>
      <c r="P422" s="3">
        <f t="shared" si="18"/>
        <v>1451.4939145964088</v>
      </c>
      <c r="Q422" s="3">
        <f t="shared" si="19"/>
        <v>2057.2354695067211</v>
      </c>
      <c r="R422" s="3">
        <f>P401/2</f>
        <v>1.4173228346456692</v>
      </c>
    </row>
    <row r="423" spans="1:19" x14ac:dyDescent="0.25">
      <c r="K423" s="3" t="s">
        <v>413</v>
      </c>
      <c r="L423" s="3" t="s">
        <v>414</v>
      </c>
      <c r="M423" s="3" t="s">
        <v>414</v>
      </c>
      <c r="N423" s="3">
        <f>L401*($R$401-$P$401)*($P$401)/$R$401</f>
        <v>3907.9010974833</v>
      </c>
      <c r="O423" s="3">
        <f>M401*($R$401-$P$401)*($P$401)/$R$401</f>
        <v>-1287.3150819729317</v>
      </c>
      <c r="P423" s="3" t="s">
        <v>414</v>
      </c>
      <c r="Q423" s="3">
        <f t="shared" si="19"/>
        <v>4114.4709390134421</v>
      </c>
      <c r="R423" s="21">
        <f>P401</f>
        <v>2.8346456692913384</v>
      </c>
    </row>
    <row r="424" spans="1:19" x14ac:dyDescent="0.25">
      <c r="K424" s="3" t="s">
        <v>415</v>
      </c>
      <c r="L424" s="3">
        <f>-L401*$P$401/$R$401</f>
        <v>-1266.8881668931185</v>
      </c>
      <c r="M424" s="3">
        <f>-M401*$P$401/$R$401</f>
        <v>417.32996913991667</v>
      </c>
      <c r="N424" s="3">
        <f>L401*$P$401*($R$401-$P$401+($R$401-$P$401)/2)/$R$401-L401*($R$401-$P$401)*($P$401)/$R$401</f>
        <v>1953.95054874165</v>
      </c>
      <c r="O424" s="3">
        <f>M401*$P$401*($R$401-$P$401+($R$401-$P$401)/2)/$R$401-M401*($R$401-$P$401)*($P$401)/$R$401</f>
        <v>-643.65754098646607</v>
      </c>
      <c r="P424" s="3">
        <f t="shared" si="18"/>
        <v>1333.855288461282</v>
      </c>
      <c r="Q424" s="3">
        <f t="shared" si="19"/>
        <v>2057.2354695067211</v>
      </c>
      <c r="R424" s="3">
        <f>P400+(R400-P400)/2</f>
        <v>8.4872047244094482</v>
      </c>
    </row>
    <row r="425" spans="1:19" x14ac:dyDescent="0.25">
      <c r="K425" s="3" t="s">
        <v>416</v>
      </c>
      <c r="L425" s="22" t="s">
        <v>414</v>
      </c>
      <c r="M425" s="22" t="s">
        <v>414</v>
      </c>
      <c r="N425" s="22" t="s">
        <v>414</v>
      </c>
      <c r="O425" s="22" t="s">
        <v>414</v>
      </c>
      <c r="P425" s="22" t="e">
        <f t="shared" si="18"/>
        <v>#VALUE!</v>
      </c>
      <c r="Q425" s="22" t="e">
        <f t="shared" si="19"/>
        <v>#VALUE!</v>
      </c>
      <c r="R425" s="22"/>
    </row>
    <row r="426" spans="1:19" x14ac:dyDescent="0.25">
      <c r="K426" s="3" t="s">
        <v>417</v>
      </c>
      <c r="L426" s="22" t="s">
        <v>414</v>
      </c>
      <c r="M426" s="22" t="s">
        <v>414</v>
      </c>
      <c r="N426" s="22" t="s">
        <v>414</v>
      </c>
      <c r="O426" s="22" t="s">
        <v>414</v>
      </c>
      <c r="P426" s="22" t="e">
        <f t="shared" si="18"/>
        <v>#VALUE!</v>
      </c>
      <c r="Q426" s="22" t="e">
        <f t="shared" si="19"/>
        <v>#VALUE!</v>
      </c>
      <c r="R426" s="22"/>
    </row>
    <row r="427" spans="1:19" x14ac:dyDescent="0.25">
      <c r="K427" s="3" t="s">
        <v>418</v>
      </c>
      <c r="L427" s="3">
        <f>-L401*$P$401/$R$401</f>
        <v>-1266.8881668931185</v>
      </c>
      <c r="M427" s="3">
        <f>-M401*$P$401/$R$401</f>
        <v>417.32996913991667</v>
      </c>
      <c r="N427" s="3">
        <v>0</v>
      </c>
      <c r="O427" s="3">
        <v>0</v>
      </c>
      <c r="P427" s="3">
        <f t="shared" si="18"/>
        <v>1333.855288461282</v>
      </c>
      <c r="Q427" s="3">
        <f t="shared" si="19"/>
        <v>0</v>
      </c>
      <c r="R427" s="21">
        <f>R401</f>
        <v>5.9192913385826769</v>
      </c>
    </row>
    <row r="430" spans="1:19" x14ac:dyDescent="0.25">
      <c r="A430" t="s">
        <v>147</v>
      </c>
      <c r="K430" s="1" t="s">
        <v>419</v>
      </c>
    </row>
    <row r="431" spans="1:19" x14ac:dyDescent="0.25">
      <c r="G431" t="s">
        <v>153</v>
      </c>
      <c r="H431" t="s">
        <v>154</v>
      </c>
      <c r="L431" s="3" t="s">
        <v>407</v>
      </c>
      <c r="M431" s="3" t="s">
        <v>408</v>
      </c>
      <c r="N431" s="3" t="s">
        <v>409</v>
      </c>
      <c r="O431" s="3" t="s">
        <v>420</v>
      </c>
      <c r="P431" s="3" t="s">
        <v>421</v>
      </c>
      <c r="Q431" s="3" t="s">
        <v>422</v>
      </c>
      <c r="R431" s="3" t="s">
        <v>423</v>
      </c>
      <c r="S431" s="3" t="s">
        <v>424</v>
      </c>
    </row>
    <row r="432" spans="1:19" x14ac:dyDescent="0.25">
      <c r="G432" s="3">
        <v>1</v>
      </c>
      <c r="H432" s="3">
        <f>63025*B3/G374</f>
        <v>669.640625</v>
      </c>
      <c r="I432" s="3" t="s">
        <v>160</v>
      </c>
      <c r="K432" s="63" t="s">
        <v>88</v>
      </c>
      <c r="L432" s="62" cm="1">
        <f t="array" ref="L432:N455">P404:R427</f>
        <v>0</v>
      </c>
      <c r="M432" s="62">
        <v>0</v>
      </c>
      <c r="N432" s="62">
        <v>0</v>
      </c>
      <c r="O432" s="66"/>
      <c r="P432" s="62">
        <f>O432/2</f>
        <v>0</v>
      </c>
      <c r="Q432" s="62">
        <f>PI()*(O432^4)/64</f>
        <v>0</v>
      </c>
      <c r="R432" s="62"/>
      <c r="S432" s="62">
        <f>R432/1000</f>
        <v>0</v>
      </c>
    </row>
    <row r="433" spans="1:19" x14ac:dyDescent="0.25">
      <c r="G433" s="3">
        <v>2</v>
      </c>
      <c r="H433" s="3">
        <f>63025*B3/H374</f>
        <v>2976.1805555555557</v>
      </c>
      <c r="I433" s="3" t="s">
        <v>160</v>
      </c>
      <c r="K433" s="3" t="s">
        <v>410</v>
      </c>
      <c r="L433" s="3">
        <v>302.41294245066507</v>
      </c>
      <c r="M433" s="3">
        <v>0</v>
      </c>
      <c r="N433" s="3">
        <v>0</v>
      </c>
      <c r="O433" s="21">
        <f>S266</f>
        <v>0.78740157480314965</v>
      </c>
      <c r="P433" s="3">
        <f t="shared" ref="P433:P455" si="20">O433/2</f>
        <v>0.39370078740157483</v>
      </c>
      <c r="Q433" s="3">
        <f t="shared" ref="Q433:Q455" si="21">PI()*(O433^4)/64</f>
        <v>1.8869266352613628E-2</v>
      </c>
      <c r="R433" s="3">
        <f>M433*P433/Q433</f>
        <v>0</v>
      </c>
      <c r="S433" s="3">
        <f t="shared" ref="S433:S455" si="22">R433/1000</f>
        <v>0</v>
      </c>
    </row>
    <row r="434" spans="1:19" x14ac:dyDescent="0.25">
      <c r="G434" s="3">
        <v>3</v>
      </c>
      <c r="H434" s="3">
        <f>63025*B3/J374</f>
        <v>13227.469135802468</v>
      </c>
      <c r="I434" s="3" t="s">
        <v>160</v>
      </c>
      <c r="K434" s="3" t="s">
        <v>411</v>
      </c>
      <c r="L434" s="3">
        <v>302.41294245066507</v>
      </c>
      <c r="M434" s="3">
        <v>460.46537595588467</v>
      </c>
      <c r="N434" s="3">
        <v>1.5226377952755905</v>
      </c>
      <c r="O434" s="21">
        <f t="shared" ref="O434:O439" si="23">O433</f>
        <v>0.78740157480314965</v>
      </c>
      <c r="P434" s="3">
        <f t="shared" si="20"/>
        <v>0.39370078740157483</v>
      </c>
      <c r="Q434" s="3">
        <f t="shared" si="21"/>
        <v>1.8869266352613628E-2</v>
      </c>
      <c r="R434" s="3">
        <f t="shared" ref="R434:R455" si="24">M434*P434/Q434</f>
        <v>9607.4525472943806</v>
      </c>
      <c r="S434" s="3">
        <f t="shared" si="22"/>
        <v>9.6074525472943808</v>
      </c>
    </row>
    <row r="435" spans="1:19" x14ac:dyDescent="0.25">
      <c r="K435" s="3" t="s">
        <v>413</v>
      </c>
      <c r="L435" s="3" t="str">
        <v>x</v>
      </c>
      <c r="M435" s="3">
        <v>920.93075191176933</v>
      </c>
      <c r="N435" s="21">
        <v>3.045275590551181</v>
      </c>
      <c r="O435" s="21">
        <f t="shared" si="23"/>
        <v>0.78740157480314965</v>
      </c>
      <c r="P435" s="3">
        <f t="shared" si="20"/>
        <v>0.39370078740157483</v>
      </c>
      <c r="Q435" s="3">
        <f t="shared" si="21"/>
        <v>1.8869266352613628E-2</v>
      </c>
      <c r="R435" s="3">
        <f t="shared" si="24"/>
        <v>19214.905094588761</v>
      </c>
      <c r="S435" s="68">
        <f t="shared" si="22"/>
        <v>19.214905094588762</v>
      </c>
    </row>
    <row r="436" spans="1:19" x14ac:dyDescent="0.25">
      <c r="K436" s="3" t="s">
        <v>415</v>
      </c>
      <c r="L436" s="3">
        <v>329.45973378252035</v>
      </c>
      <c r="M436">
        <v>460.46537595588472</v>
      </c>
      <c r="N436" s="3">
        <v>4.4429133858267713</v>
      </c>
      <c r="O436" s="21">
        <f t="shared" si="23"/>
        <v>0.78740157480314965</v>
      </c>
      <c r="P436" s="3">
        <f t="shared" si="20"/>
        <v>0.39370078740157483</v>
      </c>
      <c r="Q436" s="3">
        <f t="shared" si="21"/>
        <v>1.8869266352613628E-2</v>
      </c>
      <c r="R436" s="3">
        <f t="shared" si="24"/>
        <v>9607.4525472943824</v>
      </c>
      <c r="S436" s="3">
        <f t="shared" si="22"/>
        <v>9.6074525472943826</v>
      </c>
    </row>
    <row r="437" spans="1:19" x14ac:dyDescent="0.25">
      <c r="K437" s="3" t="s">
        <v>416</v>
      </c>
      <c r="L437" s="22" t="e">
        <v>#VALUE!</v>
      </c>
      <c r="M437" s="22" t="e">
        <v>#VALUE!</v>
      </c>
      <c r="N437" s="22">
        <v>0</v>
      </c>
      <c r="O437" s="67">
        <f t="shared" si="23"/>
        <v>0.78740157480314965</v>
      </c>
      <c r="P437" s="22">
        <f t="shared" si="20"/>
        <v>0.39370078740157483</v>
      </c>
      <c r="Q437" s="22">
        <f t="shared" si="21"/>
        <v>1.8869266352613628E-2</v>
      </c>
      <c r="R437" s="22" t="e">
        <f t="shared" si="24"/>
        <v>#VALUE!</v>
      </c>
      <c r="S437" s="22" t="e">
        <f t="shared" si="22"/>
        <v>#VALUE!</v>
      </c>
    </row>
    <row r="438" spans="1:19" x14ac:dyDescent="0.25">
      <c r="K438" s="3" t="s">
        <v>417</v>
      </c>
      <c r="L438" s="22" t="e">
        <v>#VALUE!</v>
      </c>
      <c r="M438" s="22" t="e">
        <v>#VALUE!</v>
      </c>
      <c r="N438" s="22">
        <v>0</v>
      </c>
      <c r="O438" s="67">
        <f t="shared" si="23"/>
        <v>0.78740157480314965</v>
      </c>
      <c r="P438" s="22">
        <f t="shared" si="20"/>
        <v>0.39370078740157483</v>
      </c>
      <c r="Q438" s="22">
        <f t="shared" si="21"/>
        <v>1.8869266352613628E-2</v>
      </c>
      <c r="R438" s="22" t="e">
        <f t="shared" si="24"/>
        <v>#VALUE!</v>
      </c>
      <c r="S438" s="22" t="e">
        <f t="shared" si="22"/>
        <v>#VALUE!</v>
      </c>
    </row>
    <row r="439" spans="1:19" x14ac:dyDescent="0.25">
      <c r="K439" s="3" t="s">
        <v>418</v>
      </c>
      <c r="L439" s="3">
        <v>329.45973378252035</v>
      </c>
      <c r="M439" s="3">
        <v>0</v>
      </c>
      <c r="N439" s="21">
        <v>5.840551181102362</v>
      </c>
      <c r="O439" s="21">
        <f t="shared" si="23"/>
        <v>0.78740157480314965</v>
      </c>
      <c r="P439" s="3">
        <f t="shared" si="20"/>
        <v>0.39370078740157483</v>
      </c>
      <c r="Q439" s="3">
        <f t="shared" si="21"/>
        <v>1.8869266352613628E-2</v>
      </c>
      <c r="R439" s="3">
        <f t="shared" si="24"/>
        <v>0</v>
      </c>
      <c r="S439" s="3">
        <f t="shared" si="22"/>
        <v>0</v>
      </c>
    </row>
    <row r="440" spans="1:19" x14ac:dyDescent="0.25">
      <c r="A440" t="s">
        <v>170</v>
      </c>
      <c r="K440" s="63" t="s">
        <v>92</v>
      </c>
      <c r="L440" s="62">
        <v>0</v>
      </c>
      <c r="M440" s="62">
        <v>0</v>
      </c>
      <c r="N440" s="62">
        <v>0</v>
      </c>
      <c r="O440" s="66"/>
      <c r="P440" s="62"/>
      <c r="Q440" s="62"/>
      <c r="R440" s="62"/>
      <c r="S440" s="62">
        <f t="shared" si="22"/>
        <v>0</v>
      </c>
    </row>
    <row r="441" spans="1:19" s="1" customFormat="1" x14ac:dyDescent="0.25">
      <c r="A441" s="1" t="s">
        <v>171</v>
      </c>
      <c r="E441" s="1" t="s">
        <v>172</v>
      </c>
      <c r="K441" s="3" t="s">
        <v>410</v>
      </c>
      <c r="L441" s="3">
        <v>484.12261679621025</v>
      </c>
      <c r="M441" s="3">
        <v>0</v>
      </c>
      <c r="N441" s="3">
        <v>0</v>
      </c>
      <c r="O441" s="21">
        <f>S267</f>
        <v>1.1811023622047245</v>
      </c>
      <c r="P441" s="3">
        <f t="shared" si="20"/>
        <v>0.59055118110236227</v>
      </c>
      <c r="Q441" s="3">
        <f t="shared" si="21"/>
        <v>9.5525660910106544E-2</v>
      </c>
      <c r="R441" s="3">
        <f t="shared" si="24"/>
        <v>0</v>
      </c>
      <c r="S441" s="3">
        <f t="shared" si="22"/>
        <v>0</v>
      </c>
    </row>
    <row r="442" spans="1:19" x14ac:dyDescent="0.25">
      <c r="K442" s="3" t="s">
        <v>411</v>
      </c>
      <c r="L442" s="3">
        <v>484.12261679621025</v>
      </c>
      <c r="M442" s="3">
        <v>727.61342111005229</v>
      </c>
      <c r="N442" s="3">
        <v>1.5029527559055118</v>
      </c>
      <c r="O442" s="21">
        <f>O441</f>
        <v>1.1811023622047245</v>
      </c>
      <c r="P442" s="3">
        <f t="shared" si="20"/>
        <v>0.59055118110236227</v>
      </c>
      <c r="Q442" s="3">
        <f t="shared" si="21"/>
        <v>9.5525660910106544E-2</v>
      </c>
      <c r="R442" s="3">
        <f t="shared" si="24"/>
        <v>4498.1941096102973</v>
      </c>
      <c r="S442" s="3">
        <f t="shared" si="22"/>
        <v>4.4981941096102975</v>
      </c>
    </row>
    <row r="443" spans="1:19" x14ac:dyDescent="0.25">
      <c r="K443" s="3" t="s">
        <v>413</v>
      </c>
      <c r="L443" s="3" t="str">
        <v>x</v>
      </c>
      <c r="M443" s="3">
        <v>1455.2268422201046</v>
      </c>
      <c r="N443" s="21">
        <v>3.0059055118110236</v>
      </c>
      <c r="O443" s="21">
        <f>O442</f>
        <v>1.1811023622047245</v>
      </c>
      <c r="P443" s="3">
        <f t="shared" si="20"/>
        <v>0.59055118110236227</v>
      </c>
      <c r="Q443" s="3">
        <f t="shared" si="21"/>
        <v>9.5525660910106544E-2</v>
      </c>
      <c r="R443" s="3">
        <f t="shared" si="24"/>
        <v>8996.3882192205947</v>
      </c>
      <c r="S443" s="3">
        <f t="shared" si="22"/>
        <v>8.9963882192205951</v>
      </c>
    </row>
    <row r="444" spans="1:19" x14ac:dyDescent="0.25">
      <c r="K444" s="3" t="s">
        <v>415</v>
      </c>
      <c r="L444" s="3">
        <v>750.94870249771236</v>
      </c>
      <c r="M444" s="3">
        <v>3174.3986890471988</v>
      </c>
      <c r="N444" s="3">
        <v>5.9458661417322842</v>
      </c>
      <c r="O444" s="21">
        <f>O443</f>
        <v>1.1811023622047245</v>
      </c>
      <c r="P444" s="3">
        <f t="shared" si="20"/>
        <v>0.59055118110236227</v>
      </c>
      <c r="Q444" s="3">
        <f t="shared" si="21"/>
        <v>9.5525660910106544E-2</v>
      </c>
      <c r="R444" s="3">
        <f t="shared" si="24"/>
        <v>19624.516357659428</v>
      </c>
      <c r="S444" s="68">
        <f t="shared" si="22"/>
        <v>19.624516357659427</v>
      </c>
    </row>
    <row r="445" spans="1:19" x14ac:dyDescent="0.25">
      <c r="K445" s="3" t="s">
        <v>416</v>
      </c>
      <c r="L445" s="3" t="str">
        <v>x</v>
      </c>
      <c r="M445" s="3">
        <v>6649.5793805379726</v>
      </c>
      <c r="N445" s="21">
        <v>10.765748031496063</v>
      </c>
      <c r="O445" s="21">
        <f>S268</f>
        <v>2.1653543307086616</v>
      </c>
      <c r="P445" s="3">
        <f t="shared" si="20"/>
        <v>1.0826771653543308</v>
      </c>
      <c r="Q445" s="3">
        <f t="shared" si="21"/>
        <v>1.0791598776117821</v>
      </c>
      <c r="R445" s="3">
        <f t="shared" si="24"/>
        <v>6671.252243413518</v>
      </c>
      <c r="S445" s="3">
        <f t="shared" si="22"/>
        <v>6.6712522434135177</v>
      </c>
    </row>
    <row r="446" spans="1:19" x14ac:dyDescent="0.25">
      <c r="K446" s="3" t="s">
        <v>417</v>
      </c>
      <c r="L446" s="3">
        <v>2076.2054857487956</v>
      </c>
      <c r="M446" s="3">
        <v>3324.7896902689863</v>
      </c>
      <c r="N446" s="3">
        <v>12.367125984251969</v>
      </c>
      <c r="O446" s="21">
        <f>O445</f>
        <v>2.1653543307086616</v>
      </c>
      <c r="P446" s="3">
        <f t="shared" si="20"/>
        <v>1.0826771653543308</v>
      </c>
      <c r="Q446" s="3">
        <f t="shared" si="21"/>
        <v>1.0791598776117821</v>
      </c>
      <c r="R446" s="3">
        <f t="shared" si="24"/>
        <v>3335.626121706759</v>
      </c>
      <c r="S446" s="3">
        <f t="shared" si="22"/>
        <v>3.3356261217067589</v>
      </c>
    </row>
    <row r="447" spans="1:19" x14ac:dyDescent="0.25">
      <c r="K447" s="3" t="s">
        <v>418</v>
      </c>
      <c r="L447" s="3">
        <v>2076.2054857487956</v>
      </c>
      <c r="M447" s="3">
        <v>0</v>
      </c>
      <c r="N447" s="21">
        <v>13.968503937007874</v>
      </c>
      <c r="O447" s="21">
        <f>O446</f>
        <v>2.1653543307086616</v>
      </c>
      <c r="P447" s="3">
        <f t="shared" si="20"/>
        <v>1.0826771653543308</v>
      </c>
      <c r="Q447" s="3">
        <f t="shared" si="21"/>
        <v>1.0791598776117821</v>
      </c>
      <c r="R447" s="3">
        <f t="shared" si="24"/>
        <v>0</v>
      </c>
      <c r="S447" s="3">
        <f t="shared" si="22"/>
        <v>0</v>
      </c>
    </row>
    <row r="448" spans="1:19" x14ac:dyDescent="0.25">
      <c r="K448" s="63" t="s">
        <v>96</v>
      </c>
      <c r="L448" s="62">
        <v>0</v>
      </c>
      <c r="M448" s="62">
        <v>0</v>
      </c>
      <c r="N448" s="62">
        <v>0</v>
      </c>
      <c r="O448" s="66"/>
      <c r="P448" s="62"/>
      <c r="Q448" s="62"/>
      <c r="R448" s="62"/>
      <c r="S448" s="62">
        <f t="shared" si="22"/>
        <v>0</v>
      </c>
    </row>
    <row r="449" spans="1:19" x14ac:dyDescent="0.25">
      <c r="K449" s="3" t="s">
        <v>410</v>
      </c>
      <c r="L449" s="3">
        <v>1451.4939145964088</v>
      </c>
      <c r="M449" s="3">
        <v>0</v>
      </c>
      <c r="N449" s="3">
        <v>0</v>
      </c>
      <c r="O449" s="21">
        <f>S269</f>
        <v>1.3779527559055118</v>
      </c>
      <c r="P449" s="3">
        <f t="shared" si="20"/>
        <v>0.6889763779527559</v>
      </c>
      <c r="Q449" s="3">
        <f t="shared" si="21"/>
        <v>0.17697308012744267</v>
      </c>
      <c r="R449" s="3">
        <f t="shared" si="24"/>
        <v>0</v>
      </c>
      <c r="S449" s="3">
        <f t="shared" si="22"/>
        <v>0</v>
      </c>
    </row>
    <row r="450" spans="1:19" x14ac:dyDescent="0.25">
      <c r="K450" s="3" t="s">
        <v>411</v>
      </c>
      <c r="L450" s="3">
        <v>1451.4939145964088</v>
      </c>
      <c r="M450" s="3">
        <v>2057.2354695067211</v>
      </c>
      <c r="N450" s="3">
        <v>1.4173228346456692</v>
      </c>
      <c r="O450" s="21">
        <f t="shared" ref="O450:O455" si="25">O449</f>
        <v>1.3779527559055118</v>
      </c>
      <c r="P450" s="3">
        <f t="shared" si="20"/>
        <v>0.6889763779527559</v>
      </c>
      <c r="Q450" s="3">
        <f t="shared" si="21"/>
        <v>0.17697308012744267</v>
      </c>
      <c r="R450" s="3">
        <f t="shared" si="24"/>
        <v>8009.0522318760732</v>
      </c>
      <c r="S450" s="3">
        <f t="shared" si="22"/>
        <v>8.0090522318760726</v>
      </c>
    </row>
    <row r="451" spans="1:19" x14ac:dyDescent="0.25">
      <c r="K451" s="3" t="s">
        <v>413</v>
      </c>
      <c r="L451" s="3" t="str">
        <v>x</v>
      </c>
      <c r="M451" s="3">
        <v>4114.4709390134421</v>
      </c>
      <c r="N451" s="21">
        <v>2.8346456692913384</v>
      </c>
      <c r="O451" s="21">
        <f t="shared" si="25"/>
        <v>1.3779527559055118</v>
      </c>
      <c r="P451" s="3">
        <f t="shared" si="20"/>
        <v>0.6889763779527559</v>
      </c>
      <c r="Q451" s="3">
        <f t="shared" si="21"/>
        <v>0.17697308012744267</v>
      </c>
      <c r="R451" s="3">
        <f t="shared" si="24"/>
        <v>16018.104463752146</v>
      </c>
      <c r="S451" s="68">
        <f t="shared" si="22"/>
        <v>16.018104463752145</v>
      </c>
    </row>
    <row r="452" spans="1:19" x14ac:dyDescent="0.25">
      <c r="K452" s="3" t="s">
        <v>415</v>
      </c>
      <c r="L452" s="3">
        <v>1333.855288461282</v>
      </c>
      <c r="M452" s="3">
        <v>2057.2354695067211</v>
      </c>
      <c r="N452" s="3">
        <v>8.4872047244094482</v>
      </c>
      <c r="O452" s="21">
        <f t="shared" si="25"/>
        <v>1.3779527559055118</v>
      </c>
      <c r="P452" s="3">
        <f t="shared" si="20"/>
        <v>0.6889763779527559</v>
      </c>
      <c r="Q452" s="3">
        <f t="shared" si="21"/>
        <v>0.17697308012744267</v>
      </c>
      <c r="R452" s="3">
        <f t="shared" si="24"/>
        <v>8009.0522318760732</v>
      </c>
      <c r="S452" s="3">
        <f t="shared" si="22"/>
        <v>8.0090522318760726</v>
      </c>
    </row>
    <row r="453" spans="1:19" x14ac:dyDescent="0.25">
      <c r="K453" s="3" t="s">
        <v>416</v>
      </c>
      <c r="L453" s="22" t="e">
        <v>#VALUE!</v>
      </c>
      <c r="M453" s="22" t="e">
        <v>#VALUE!</v>
      </c>
      <c r="N453" s="22">
        <v>0</v>
      </c>
      <c r="O453" s="67">
        <f t="shared" si="25"/>
        <v>1.3779527559055118</v>
      </c>
      <c r="P453" s="22">
        <f t="shared" si="20"/>
        <v>0.6889763779527559</v>
      </c>
      <c r="Q453" s="22">
        <f t="shared" si="21"/>
        <v>0.17697308012744267</v>
      </c>
      <c r="R453" s="22" t="e">
        <f t="shared" si="24"/>
        <v>#VALUE!</v>
      </c>
      <c r="S453" s="22" t="e">
        <f t="shared" si="22"/>
        <v>#VALUE!</v>
      </c>
    </row>
    <row r="454" spans="1:19" x14ac:dyDescent="0.25">
      <c r="K454" s="3" t="s">
        <v>417</v>
      </c>
      <c r="L454" s="22" t="e">
        <v>#VALUE!</v>
      </c>
      <c r="M454" s="22" t="e">
        <v>#VALUE!</v>
      </c>
      <c r="N454" s="22">
        <v>0</v>
      </c>
      <c r="O454" s="67">
        <f t="shared" si="25"/>
        <v>1.3779527559055118</v>
      </c>
      <c r="P454" s="22">
        <f t="shared" si="20"/>
        <v>0.6889763779527559</v>
      </c>
      <c r="Q454" s="22">
        <f t="shared" si="21"/>
        <v>0.17697308012744267</v>
      </c>
      <c r="R454" s="22" t="e">
        <f t="shared" si="24"/>
        <v>#VALUE!</v>
      </c>
      <c r="S454" s="22" t="e">
        <f t="shared" si="22"/>
        <v>#VALUE!</v>
      </c>
    </row>
    <row r="455" spans="1:19" x14ac:dyDescent="0.25">
      <c r="K455" s="3" t="s">
        <v>418</v>
      </c>
      <c r="L455" s="3">
        <v>1333.855288461282</v>
      </c>
      <c r="M455" s="3">
        <v>0</v>
      </c>
      <c r="N455" s="21">
        <v>5.9192913385826769</v>
      </c>
      <c r="O455" s="21">
        <f t="shared" si="25"/>
        <v>1.3779527559055118</v>
      </c>
      <c r="P455" s="3">
        <f t="shared" si="20"/>
        <v>0.6889763779527559</v>
      </c>
      <c r="Q455" s="3">
        <f t="shared" si="21"/>
        <v>0.17697308012744267</v>
      </c>
      <c r="R455" s="3">
        <f t="shared" si="24"/>
        <v>0</v>
      </c>
      <c r="S455" s="3">
        <f t="shared" si="22"/>
        <v>0</v>
      </c>
    </row>
    <row r="457" spans="1:19" x14ac:dyDescent="0.25">
      <c r="A457" s="1" t="s">
        <v>179</v>
      </c>
      <c r="Q457" s="69" t="s">
        <v>425</v>
      </c>
    </row>
    <row r="458" spans="1:19" x14ac:dyDescent="0.25">
      <c r="A458" s="3" t="s">
        <v>426</v>
      </c>
      <c r="B458" s="3">
        <f>J402+(J399+J400)/2</f>
        <v>3.25</v>
      </c>
      <c r="C458" s="3" t="s">
        <v>100</v>
      </c>
    </row>
    <row r="459" spans="1:19" x14ac:dyDescent="0.25">
      <c r="A459" s="3" t="s">
        <v>185</v>
      </c>
      <c r="B459" s="3">
        <f>J403+(J399+J401)/2</f>
        <v>2.875</v>
      </c>
      <c r="C459" s="3" t="s">
        <v>100</v>
      </c>
    </row>
    <row r="460" spans="1:19" x14ac:dyDescent="0.25">
      <c r="A460" s="3" t="s">
        <v>188</v>
      </c>
      <c r="B460" s="3">
        <f>J408+(J406+J399)/2</f>
        <v>2.875</v>
      </c>
      <c r="C460" s="3" t="s">
        <v>100</v>
      </c>
    </row>
    <row r="461" spans="1:19" x14ac:dyDescent="0.25">
      <c r="A461" s="3" t="s">
        <v>427</v>
      </c>
      <c r="B461" s="3">
        <f>J409+(J399+J407)/2</f>
        <v>3.25</v>
      </c>
      <c r="C461" s="3" t="s">
        <v>100</v>
      </c>
    </row>
    <row r="462" spans="1:19" x14ac:dyDescent="0.25">
      <c r="A462" s="3" t="s">
        <v>191</v>
      </c>
      <c r="B462" s="3">
        <f>J399+J411</f>
        <v>8</v>
      </c>
      <c r="C462" s="3" t="s">
        <v>100</v>
      </c>
    </row>
    <row r="463" spans="1:19" x14ac:dyDescent="0.25">
      <c r="F463" s="1" t="s">
        <v>192</v>
      </c>
      <c r="K463" s="92" t="s">
        <v>428</v>
      </c>
      <c r="L463" s="92"/>
      <c r="M463" s="92"/>
      <c r="N463" s="92"/>
      <c r="O463" s="92"/>
      <c r="P463" s="92"/>
      <c r="Q463" s="92"/>
      <c r="R463" s="92"/>
      <c r="S463" s="92"/>
    </row>
    <row r="464" spans="1:19" x14ac:dyDescent="0.25">
      <c r="F464" s="3" t="s">
        <v>194</v>
      </c>
      <c r="G464" s="3">
        <f>G375-G466</f>
        <v>279.39812662785386</v>
      </c>
      <c r="H464" s="3" t="s">
        <v>195</v>
      </c>
      <c r="K464" s="92"/>
      <c r="L464" s="92"/>
      <c r="M464" s="92"/>
      <c r="N464" s="92"/>
      <c r="O464" s="92"/>
      <c r="P464" s="92"/>
      <c r="Q464" s="92"/>
      <c r="R464" s="92"/>
      <c r="S464" s="92"/>
    </row>
    <row r="465" spans="6:20" x14ac:dyDescent="0.25">
      <c r="F465" s="3" t="s">
        <v>197</v>
      </c>
      <c r="G465" s="3">
        <f>0-G376-G467</f>
        <v>-101.69260160227803</v>
      </c>
      <c r="H465" s="3" t="s">
        <v>195</v>
      </c>
      <c r="P465" s="1" t="s">
        <v>429</v>
      </c>
    </row>
    <row r="466" spans="6:20" x14ac:dyDescent="0.25">
      <c r="F466" s="3" t="s">
        <v>199</v>
      </c>
      <c r="G466" s="3">
        <f>(G375*B458)/(B458+B459)</f>
        <v>315.84136053583478</v>
      </c>
      <c r="H466" s="3" t="s">
        <v>195</v>
      </c>
      <c r="R466" s="1" t="s">
        <v>430</v>
      </c>
    </row>
    <row r="467" spans="6:20" x14ac:dyDescent="0.25">
      <c r="F467" s="3" t="s">
        <v>201</v>
      </c>
      <c r="G467" s="3">
        <f>(0-G376*B458)/(B458+B459)</f>
        <v>-114.95685398518386</v>
      </c>
      <c r="H467" s="3" t="s">
        <v>195</v>
      </c>
      <c r="P467" s="3" t="s">
        <v>372</v>
      </c>
      <c r="Q467" s="3">
        <v>1</v>
      </c>
      <c r="R467" s="3" t="s">
        <v>431</v>
      </c>
      <c r="S467" s="3"/>
      <c r="T467" s="3"/>
    </row>
    <row r="468" spans="6:20" x14ac:dyDescent="0.25">
      <c r="F468" s="3" t="s">
        <v>204</v>
      </c>
      <c r="G468" s="3">
        <f>0-G375+I375-G470</f>
        <v>131.13513606096581</v>
      </c>
      <c r="H468" s="3" t="s">
        <v>195</v>
      </c>
      <c r="P468" s="3" t="s">
        <v>300</v>
      </c>
      <c r="Q468" s="3">
        <v>0.9</v>
      </c>
      <c r="R468" s="3" t="s">
        <v>432</v>
      </c>
      <c r="S468" s="3"/>
      <c r="T468" s="3"/>
    </row>
    <row r="469" spans="6:20" x14ac:dyDescent="0.25">
      <c r="F469" s="3" t="s">
        <v>207</v>
      </c>
      <c r="G469" s="3">
        <f>I376+G376-G471</f>
        <v>383.9094758973223</v>
      </c>
      <c r="H469" s="3" t="s">
        <v>195</v>
      </c>
      <c r="P469" s="3" t="s">
        <v>369</v>
      </c>
      <c r="Q469" s="3">
        <v>0.65</v>
      </c>
      <c r="R469" s="3" t="s">
        <v>433</v>
      </c>
      <c r="S469" s="3"/>
      <c r="T469" s="3"/>
    </row>
    <row r="470" spans="6:20" x14ac:dyDescent="0.25">
      <c r="F470" s="3" t="s">
        <v>210</v>
      </c>
      <c r="G470" s="3">
        <f>((0-G375*B458)+(I375*(B458+B462)))/(B458+B462+B461)</f>
        <v>1919.1342086139614</v>
      </c>
      <c r="H470" s="3" t="s">
        <v>195</v>
      </c>
      <c r="P470" s="3" t="s">
        <v>434</v>
      </c>
      <c r="Q470" s="3">
        <v>1</v>
      </c>
      <c r="R470" s="3" t="s">
        <v>435</v>
      </c>
      <c r="S470" s="3"/>
      <c r="T470" s="3"/>
    </row>
    <row r="471" spans="6:20" x14ac:dyDescent="0.25">
      <c r="F471" s="3" t="s">
        <v>213</v>
      </c>
      <c r="G471" s="3">
        <f>((G376*B458)+(I376*(B458+B462)))/(B458+B462+B461)</f>
        <v>795.62644896774793</v>
      </c>
      <c r="H471" s="3" t="s">
        <v>195</v>
      </c>
      <c r="P471" s="3" t="s">
        <v>436</v>
      </c>
      <c r="Q471" s="3">
        <v>0.81399999999999995</v>
      </c>
      <c r="R471" s="3" t="s">
        <v>437</v>
      </c>
      <c r="S471" s="3"/>
      <c r="T471" s="3"/>
    </row>
    <row r="472" spans="6:20" x14ac:dyDescent="0.25">
      <c r="F472" s="3" t="s">
        <v>215</v>
      </c>
      <c r="G472" s="25">
        <f>0-I375-G474</f>
        <v>-1403.7393801592657</v>
      </c>
      <c r="H472" s="3" t="s">
        <v>195</v>
      </c>
      <c r="P472" s="3" t="s">
        <v>438</v>
      </c>
      <c r="Q472" s="3">
        <v>0.85</v>
      </c>
      <c r="R472" s="3" t="s">
        <v>439</v>
      </c>
      <c r="S472" s="3"/>
      <c r="T472" s="3"/>
    </row>
    <row r="473" spans="6:20" x14ac:dyDescent="0.25">
      <c r="F473" s="3" t="s">
        <v>217</v>
      </c>
      <c r="G473" s="3">
        <f>0-I376-G475</f>
        <v>-510.91935104526158</v>
      </c>
      <c r="H473" s="3" t="s">
        <v>195</v>
      </c>
      <c r="P473" s="3" t="s">
        <v>440</v>
      </c>
      <c r="Q473" s="3">
        <f>S270/S267</f>
        <v>0.13333333333333333</v>
      </c>
      <c r="R473" s="3" t="s">
        <v>439</v>
      </c>
      <c r="S473" s="3"/>
      <c r="T473" s="3"/>
    </row>
    <row r="474" spans="6:20" x14ac:dyDescent="0.25">
      <c r="F474" s="3" t="s">
        <v>219</v>
      </c>
      <c r="G474" s="3">
        <f>(0-I375*B460)/(B460+B461)</f>
        <v>-1241.7694516793504</v>
      </c>
      <c r="H474" s="3" t="s">
        <v>195</v>
      </c>
      <c r="P474" s="3" t="s">
        <v>441</v>
      </c>
      <c r="Q474" s="3">
        <f>S268/S267</f>
        <v>1.8333333333333333</v>
      </c>
      <c r="R474" s="3" t="s">
        <v>439</v>
      </c>
      <c r="S474" s="3"/>
      <c r="T474" s="3"/>
    </row>
    <row r="475" spans="6:20" x14ac:dyDescent="0.25">
      <c r="F475" s="3" t="s">
        <v>220</v>
      </c>
      <c r="G475" s="3">
        <f>(0-I376*B460)/(B460+B461)</f>
        <v>-451.96711823234682</v>
      </c>
      <c r="H475" s="3" t="s">
        <v>195</v>
      </c>
      <c r="P475" s="3" t="s">
        <v>442</v>
      </c>
      <c r="Q475" s="3">
        <v>1.55</v>
      </c>
      <c r="R475" s="3" t="s">
        <v>439</v>
      </c>
      <c r="S475" s="3"/>
      <c r="T475" s="3"/>
    </row>
    <row r="476" spans="6:20" x14ac:dyDescent="0.25">
      <c r="P476" s="3" t="s">
        <v>443</v>
      </c>
      <c r="Q476" s="3">
        <f>1+Q472*(Q475-1)</f>
        <v>1.4675</v>
      </c>
      <c r="R476" s="3" t="s">
        <v>444</v>
      </c>
      <c r="S476" s="3"/>
      <c r="T476" s="3"/>
    </row>
    <row r="477" spans="6:20" x14ac:dyDescent="0.25">
      <c r="F477" s="1" t="s">
        <v>225</v>
      </c>
      <c r="P477" s="3" t="s">
        <v>445</v>
      </c>
      <c r="Q477" s="3">
        <f>1/Q476</f>
        <v>0.68143100511073251</v>
      </c>
      <c r="R477" s="3" t="s">
        <v>446</v>
      </c>
      <c r="S477" s="3"/>
      <c r="T477" s="3"/>
    </row>
    <row r="478" spans="6:20" x14ac:dyDescent="0.25">
      <c r="F478" s="3" t="s">
        <v>73</v>
      </c>
      <c r="G478" s="3">
        <f>SQRT(((G464)^2)+((G465)^2))</f>
        <v>297.32927602877237</v>
      </c>
      <c r="H478" s="3" t="s">
        <v>195</v>
      </c>
      <c r="P478" s="94" t="s">
        <v>447</v>
      </c>
      <c r="Q478" s="94"/>
      <c r="R478" s="94"/>
      <c r="S478" s="94"/>
    </row>
    <row r="479" spans="6:20" x14ac:dyDescent="0.25">
      <c r="F479" s="3" t="s">
        <v>75</v>
      </c>
      <c r="G479" s="3">
        <f>SQRT(((G466)^2)+((G467)^2))</f>
        <v>336.1113555107861</v>
      </c>
      <c r="H479" s="3" t="s">
        <v>195</v>
      </c>
      <c r="P479" s="94"/>
      <c r="Q479" s="94"/>
      <c r="R479" s="94"/>
      <c r="S479" s="94"/>
    </row>
    <row r="480" spans="6:20" x14ac:dyDescent="0.25">
      <c r="F480" s="3" t="s">
        <v>77</v>
      </c>
      <c r="G480" s="3">
        <f>SQRT(((G468)^2)+((G469)^2))</f>
        <v>405.68819257341551</v>
      </c>
      <c r="H480" s="3" t="s">
        <v>195</v>
      </c>
    </row>
    <row r="481" spans="1:8" x14ac:dyDescent="0.25">
      <c r="F481" s="3" t="s">
        <v>79</v>
      </c>
      <c r="G481" s="3">
        <f>SQRT(((G470)^2)+((G471)^2))</f>
        <v>2077.5219750869937</v>
      </c>
      <c r="H481" s="3" t="s">
        <v>195</v>
      </c>
    </row>
    <row r="482" spans="1:8" x14ac:dyDescent="0.25">
      <c r="F482" s="3" t="s">
        <v>227</v>
      </c>
      <c r="G482" s="3">
        <f>SQRT(((G472)^2)+((G473)^2))</f>
        <v>1493.828246714605</v>
      </c>
      <c r="H482" s="3" t="s">
        <v>195</v>
      </c>
    </row>
    <row r="483" spans="1:8" x14ac:dyDescent="0.25">
      <c r="A483" t="s">
        <v>172</v>
      </c>
      <c r="F483" s="24" t="s">
        <v>228</v>
      </c>
      <c r="G483" s="3">
        <f>SQRT(((G474)^2)+((G475)^2))</f>
        <v>1321.4634490167659</v>
      </c>
      <c r="H483" s="3" t="s">
        <v>195</v>
      </c>
    </row>
    <row r="484" spans="1:8" x14ac:dyDescent="0.25">
      <c r="F484" s="18" t="s">
        <v>230</v>
      </c>
    </row>
    <row r="485" spans="1:8" x14ac:dyDescent="0.25">
      <c r="A485" t="s">
        <v>232</v>
      </c>
    </row>
    <row r="496" spans="1:8" x14ac:dyDescent="0.25">
      <c r="A496" t="s">
        <v>244</v>
      </c>
    </row>
    <row r="506" spans="1:1" x14ac:dyDescent="0.25">
      <c r="A506" t="s">
        <v>247</v>
      </c>
    </row>
    <row r="529" spans="1:20" x14ac:dyDescent="0.25">
      <c r="A529" t="s">
        <v>256</v>
      </c>
      <c r="K529" t="s">
        <v>448</v>
      </c>
      <c r="Q529" s="1" t="s">
        <v>449</v>
      </c>
    </row>
    <row r="530" spans="1:20" x14ac:dyDescent="0.25">
      <c r="Q530" s="3" t="s">
        <v>450</v>
      </c>
      <c r="R530" s="3">
        <v>5</v>
      </c>
    </row>
    <row r="531" spans="1:20" x14ac:dyDescent="0.25">
      <c r="Q531" s="3" t="s">
        <v>451</v>
      </c>
      <c r="R531" s="3">
        <v>2</v>
      </c>
    </row>
    <row r="532" spans="1:20" x14ac:dyDescent="0.25">
      <c r="P532" s="1" t="s">
        <v>452</v>
      </c>
    </row>
    <row r="533" spans="1:20" x14ac:dyDescent="0.25">
      <c r="P533" s="3"/>
      <c r="Q533" s="3" t="s">
        <v>453</v>
      </c>
      <c r="R533" s="3"/>
      <c r="S533" s="3" t="s">
        <v>454</v>
      </c>
      <c r="T533" s="3"/>
    </row>
    <row r="534" spans="1:20" x14ac:dyDescent="0.25">
      <c r="P534" s="3" t="s">
        <v>88</v>
      </c>
      <c r="Q534" s="3">
        <f>R531*S435/(0.5*Q467*Q468*Q469*Q470*Q471)</f>
        <v>161.4053641999098</v>
      </c>
      <c r="R534" s="3" t="s">
        <v>146</v>
      </c>
      <c r="S534" s="3">
        <f>R530*S435/(0.5*Q467*Q468*Q469*Q470*Q471)</f>
        <v>403.51341049977447</v>
      </c>
      <c r="T534" s="3" t="s">
        <v>146</v>
      </c>
    </row>
    <row r="535" spans="1:20" x14ac:dyDescent="0.25">
      <c r="P535" s="3" t="s">
        <v>92</v>
      </c>
      <c r="Q535" s="3">
        <f>R531*S444/(0.5*Q467*Q468*Q469*Q470*Q471*Q477)</f>
        <v>241.91165505252283</v>
      </c>
      <c r="R535" s="3" t="s">
        <v>146</v>
      </c>
      <c r="S535" s="3">
        <f>R530*S444/(0.5*Q467*Q468*Q469*Q470*Q471*Q477)</f>
        <v>604.77913763130709</v>
      </c>
      <c r="T535" s="3" t="s">
        <v>146</v>
      </c>
    </row>
    <row r="536" spans="1:20" x14ac:dyDescent="0.25">
      <c r="P536" s="3" t="s">
        <v>96</v>
      </c>
      <c r="Q536" s="3">
        <f>R531*S451/(0.5*Q467*Q468*Q469*Q470*Q471)</f>
        <v>134.55221204773008</v>
      </c>
      <c r="R536" s="3" t="s">
        <v>146</v>
      </c>
      <c r="S536" s="3">
        <f>R530*S451/(0.5*Q467*Q468*Q469*Q470*Q471)</f>
        <v>336.38053011932516</v>
      </c>
      <c r="T536" s="3" t="s">
        <v>146</v>
      </c>
    </row>
    <row r="545" spans="1:3" ht="15.75" x14ac:dyDescent="0.25">
      <c r="C545" s="26"/>
    </row>
    <row r="547" spans="1:3" x14ac:dyDescent="0.25">
      <c r="A547" t="s">
        <v>260</v>
      </c>
    </row>
    <row r="561" spans="1:11" x14ac:dyDescent="0.25">
      <c r="A561" t="s">
        <v>265</v>
      </c>
      <c r="K561" t="s">
        <v>455</v>
      </c>
    </row>
    <row r="562" spans="1:11" x14ac:dyDescent="0.25">
      <c r="A562" t="s">
        <v>268</v>
      </c>
    </row>
    <row r="565" spans="1:11" x14ac:dyDescent="0.25">
      <c r="D565" s="3" t="s">
        <v>272</v>
      </c>
      <c r="E565" s="3">
        <v>1.2</v>
      </c>
    </row>
    <row r="572" spans="1:11" x14ac:dyDescent="0.25">
      <c r="A572" t="s">
        <v>274</v>
      </c>
    </row>
    <row r="575" spans="1:11" x14ac:dyDescent="0.25">
      <c r="D575" s="3" t="s">
        <v>39</v>
      </c>
      <c r="E575" s="3">
        <v>1</v>
      </c>
    </row>
    <row r="582" spans="1:18" ht="14.45" customHeight="1" x14ac:dyDescent="0.25">
      <c r="E582" s="94" t="s">
        <v>275</v>
      </c>
      <c r="F582" s="94"/>
      <c r="G582" s="94"/>
      <c r="H582" s="94"/>
      <c r="I582" s="94"/>
      <c r="J582" s="94"/>
    </row>
    <row r="583" spans="1:18" x14ac:dyDescent="0.25">
      <c r="E583" s="94"/>
      <c r="F583" s="94"/>
      <c r="G583" s="94"/>
      <c r="H583" s="94"/>
      <c r="I583" s="94"/>
      <c r="J583" s="94"/>
    </row>
    <row r="584" spans="1:18" x14ac:dyDescent="0.25">
      <c r="E584" s="1" t="s">
        <v>276</v>
      </c>
    </row>
    <row r="585" spans="1:18" x14ac:dyDescent="0.25">
      <c r="E585" s="3" t="s">
        <v>73</v>
      </c>
      <c r="F585" s="3">
        <f>G478</f>
        <v>297.32927602877237</v>
      </c>
      <c r="G585" s="3" t="s">
        <v>195</v>
      </c>
      <c r="H585" s="3" t="s">
        <v>277</v>
      </c>
      <c r="I585" s="3">
        <f>F585*4.4482</f>
        <v>1322.5800856311853</v>
      </c>
      <c r="J585" s="3" t="s">
        <v>278</v>
      </c>
    </row>
    <row r="586" spans="1:18" x14ac:dyDescent="0.25">
      <c r="E586" s="3" t="s">
        <v>75</v>
      </c>
      <c r="F586" s="3">
        <f t="shared" ref="F586:F590" si="26">G479</f>
        <v>336.1113555107861</v>
      </c>
      <c r="G586" s="3" t="s">
        <v>195</v>
      </c>
      <c r="H586" s="3" t="s">
        <v>277</v>
      </c>
      <c r="I586" s="3">
        <f t="shared" ref="I586:I590" si="27">F586*4.4482</f>
        <v>1495.0905315830787</v>
      </c>
      <c r="J586" s="3" t="s">
        <v>278</v>
      </c>
    </row>
    <row r="587" spans="1:18" x14ac:dyDescent="0.25">
      <c r="E587" s="3" t="s">
        <v>77</v>
      </c>
      <c r="F587" s="3">
        <f t="shared" si="26"/>
        <v>405.68819257341551</v>
      </c>
      <c r="G587" s="3" t="s">
        <v>195</v>
      </c>
      <c r="H587" s="3" t="s">
        <v>277</v>
      </c>
      <c r="I587" s="3">
        <f t="shared" si="27"/>
        <v>1804.5822182050667</v>
      </c>
      <c r="J587" s="3" t="s">
        <v>278</v>
      </c>
    </row>
    <row r="588" spans="1:18" x14ac:dyDescent="0.25">
      <c r="E588" s="3" t="s">
        <v>79</v>
      </c>
      <c r="F588" s="3">
        <f t="shared" si="26"/>
        <v>2077.5219750869937</v>
      </c>
      <c r="G588" s="3" t="s">
        <v>195</v>
      </c>
      <c r="H588" s="3" t="s">
        <v>277</v>
      </c>
      <c r="I588" s="3">
        <f t="shared" si="27"/>
        <v>9241.2332495819646</v>
      </c>
      <c r="J588" s="3" t="s">
        <v>278</v>
      </c>
    </row>
    <row r="589" spans="1:18" x14ac:dyDescent="0.25">
      <c r="E589" s="3" t="s">
        <v>227</v>
      </c>
      <c r="F589" s="3">
        <f t="shared" si="26"/>
        <v>1493.828246714605</v>
      </c>
      <c r="G589" s="3" t="s">
        <v>195</v>
      </c>
      <c r="H589" s="3" t="s">
        <v>277</v>
      </c>
      <c r="I589" s="3">
        <f t="shared" si="27"/>
        <v>6644.8468070359058</v>
      </c>
      <c r="J589" s="3" t="s">
        <v>278</v>
      </c>
      <c r="K589" s="9" t="s">
        <v>456</v>
      </c>
      <c r="L589" s="70"/>
      <c r="M589" s="4" t="s">
        <v>349</v>
      </c>
      <c r="N589" s="3">
        <v>0.28399999999999997</v>
      </c>
      <c r="O589" s="3" t="s">
        <v>101</v>
      </c>
      <c r="Q589" s="3" t="s">
        <v>362</v>
      </c>
      <c r="R589" s="3"/>
    </row>
    <row r="590" spans="1:18" x14ac:dyDescent="0.25">
      <c r="A590" s="3" t="s">
        <v>279</v>
      </c>
      <c r="B590" s="3">
        <f>B7</f>
        <v>14000</v>
      </c>
      <c r="C590" s="3" t="s">
        <v>280</v>
      </c>
      <c r="E590" s="3" t="s">
        <v>228</v>
      </c>
      <c r="F590" s="3">
        <f t="shared" si="26"/>
        <v>1321.4634490167659</v>
      </c>
      <c r="G590" s="3" t="s">
        <v>195</v>
      </c>
      <c r="H590" s="3" t="s">
        <v>277</v>
      </c>
      <c r="I590" s="3">
        <f t="shared" si="27"/>
        <v>5878.1337139163779</v>
      </c>
      <c r="J590" s="3" t="s">
        <v>278</v>
      </c>
      <c r="K590" s="9" t="s">
        <v>457</v>
      </c>
      <c r="L590" s="70"/>
      <c r="M590" s="4" t="s">
        <v>458</v>
      </c>
      <c r="N590" s="3">
        <v>177</v>
      </c>
      <c r="O590" s="3" t="s">
        <v>146</v>
      </c>
      <c r="Q590" s="91">
        <v>37</v>
      </c>
      <c r="R590" s="91"/>
    </row>
    <row r="591" spans="1:18" x14ac:dyDescent="0.25">
      <c r="A591" s="3" t="s">
        <v>281</v>
      </c>
      <c r="B591" s="27">
        <v>90000000</v>
      </c>
      <c r="C591" s="3" t="s">
        <v>282</v>
      </c>
      <c r="M591" s="3" t="s">
        <v>105</v>
      </c>
      <c r="N591" s="3">
        <v>29000</v>
      </c>
      <c r="O591" s="3" t="s">
        <v>146</v>
      </c>
    </row>
    <row r="592" spans="1:18" x14ac:dyDescent="0.25">
      <c r="Q592" s="3" t="s">
        <v>363</v>
      </c>
      <c r="R592" s="3"/>
    </row>
    <row r="593" spans="1:20" x14ac:dyDescent="0.25">
      <c r="K593" t="s">
        <v>459</v>
      </c>
      <c r="Q593" s="95">
        <v>341</v>
      </c>
      <c r="R593" s="97"/>
    </row>
    <row r="594" spans="1:20" x14ac:dyDescent="0.25">
      <c r="A594" t="s">
        <v>285</v>
      </c>
      <c r="G594" s="1" t="s">
        <v>286</v>
      </c>
      <c r="K594" t="s">
        <v>460</v>
      </c>
      <c r="P594" s="1" t="s">
        <v>461</v>
      </c>
    </row>
    <row r="595" spans="1:20" x14ac:dyDescent="0.25">
      <c r="G595" s="3" t="s">
        <v>287</v>
      </c>
      <c r="H595" s="3"/>
      <c r="I595" s="9">
        <f>B590*60*G374</f>
        <v>1344000000</v>
      </c>
      <c r="J595" s="3" t="s">
        <v>282</v>
      </c>
      <c r="R595" s="1" t="s">
        <v>430</v>
      </c>
    </row>
    <row r="596" spans="1:20" x14ac:dyDescent="0.25">
      <c r="G596" s="3" t="s">
        <v>288</v>
      </c>
      <c r="H596" s="3"/>
      <c r="I596" s="9">
        <f>B590*60*H374</f>
        <v>302400000</v>
      </c>
      <c r="J596" s="3" t="s">
        <v>282</v>
      </c>
      <c r="P596" s="3" t="s">
        <v>372</v>
      </c>
      <c r="Q596" s="3">
        <v>1</v>
      </c>
      <c r="R596" s="3" t="s">
        <v>462</v>
      </c>
      <c r="S596" s="3"/>
      <c r="T596" s="3"/>
    </row>
    <row r="597" spans="1:20" x14ac:dyDescent="0.25">
      <c r="G597" s="3" t="s">
        <v>289</v>
      </c>
      <c r="H597" s="3"/>
      <c r="I597" s="9">
        <f>B590*60*J374</f>
        <v>68040000</v>
      </c>
      <c r="J597" s="3" t="s">
        <v>282</v>
      </c>
      <c r="P597" s="3" t="s">
        <v>300</v>
      </c>
      <c r="Q597" s="3">
        <v>0.9</v>
      </c>
      <c r="R597" s="3" t="s">
        <v>462</v>
      </c>
      <c r="S597" s="3"/>
      <c r="T597" s="3"/>
    </row>
    <row r="598" spans="1:20" x14ac:dyDescent="0.25">
      <c r="P598" s="3" t="s">
        <v>369</v>
      </c>
      <c r="Q598" s="3">
        <v>0.65</v>
      </c>
      <c r="R598" s="3" t="s">
        <v>463</v>
      </c>
      <c r="S598" s="3"/>
      <c r="T598" s="3"/>
    </row>
    <row r="599" spans="1:20" x14ac:dyDescent="0.25">
      <c r="P599" s="3" t="s">
        <v>434</v>
      </c>
      <c r="Q599" s="3">
        <v>1</v>
      </c>
      <c r="R599" s="3" t="s">
        <v>462</v>
      </c>
      <c r="S599" s="3"/>
      <c r="T599" s="3"/>
    </row>
    <row r="600" spans="1:20" x14ac:dyDescent="0.25">
      <c r="P600" s="3" t="s">
        <v>436</v>
      </c>
      <c r="Q600" s="3">
        <v>0.81399999999999995</v>
      </c>
      <c r="R600" s="3" t="s">
        <v>462</v>
      </c>
      <c r="S600" s="3"/>
      <c r="T600" s="3"/>
    </row>
    <row r="601" spans="1:20" x14ac:dyDescent="0.25">
      <c r="P601" s="3" t="s">
        <v>438</v>
      </c>
      <c r="Q601" s="3">
        <v>0.9</v>
      </c>
      <c r="R601" s="3" t="s">
        <v>463</v>
      </c>
      <c r="S601" s="3"/>
      <c r="T601" s="3"/>
    </row>
    <row r="602" spans="1:20" x14ac:dyDescent="0.25">
      <c r="P602" s="3" t="s">
        <v>440</v>
      </c>
      <c r="Q602" s="3">
        <f>Q473</f>
        <v>0.13333333333333333</v>
      </c>
      <c r="R602" s="3" t="s">
        <v>462</v>
      </c>
      <c r="S602" s="3"/>
      <c r="T602" s="3"/>
    </row>
    <row r="603" spans="1:20" x14ac:dyDescent="0.25">
      <c r="P603" s="3" t="s">
        <v>441</v>
      </c>
      <c r="Q603" s="3">
        <f>Q474</f>
        <v>1.8333333333333333</v>
      </c>
      <c r="R603" s="3" t="s">
        <v>462</v>
      </c>
      <c r="S603" s="3"/>
      <c r="T603" s="3"/>
    </row>
    <row r="604" spans="1:20" x14ac:dyDescent="0.25">
      <c r="P604" s="3" t="s">
        <v>442</v>
      </c>
      <c r="Q604" s="3">
        <v>1.55</v>
      </c>
      <c r="R604" s="3" t="s">
        <v>462</v>
      </c>
      <c r="S604" s="3"/>
      <c r="T604" s="3"/>
    </row>
    <row r="605" spans="1:20" x14ac:dyDescent="0.25">
      <c r="P605" s="3" t="s">
        <v>443</v>
      </c>
      <c r="Q605" s="3">
        <f>1+Q601*(Q604-1)</f>
        <v>1.4950000000000001</v>
      </c>
      <c r="R605" s="3" t="s">
        <v>444</v>
      </c>
      <c r="S605" s="3"/>
      <c r="T605" s="3"/>
    </row>
    <row r="606" spans="1:20" x14ac:dyDescent="0.25">
      <c r="P606" s="3" t="s">
        <v>445</v>
      </c>
      <c r="Q606" s="3">
        <f>1/Q605</f>
        <v>0.66889632107023411</v>
      </c>
      <c r="R606" s="3" t="s">
        <v>446</v>
      </c>
      <c r="S606" s="3"/>
      <c r="T606" s="3"/>
    </row>
    <row r="607" spans="1:20" x14ac:dyDescent="0.25">
      <c r="A607" t="s">
        <v>293</v>
      </c>
      <c r="G607" s="1" t="s">
        <v>292</v>
      </c>
      <c r="P607" s="94" t="s">
        <v>447</v>
      </c>
      <c r="Q607" s="94"/>
      <c r="R607" s="94"/>
      <c r="S607" s="94"/>
    </row>
    <row r="608" spans="1:20" x14ac:dyDescent="0.25">
      <c r="G608" s="3" t="s">
        <v>296</v>
      </c>
      <c r="H608" s="25">
        <f>(I585*E565*(((I595)/(E575*B591))^0.3))/1000</f>
        <v>3.5714966983877732</v>
      </c>
      <c r="I608" s="3" t="s">
        <v>297</v>
      </c>
      <c r="P608" s="94"/>
      <c r="Q608" s="94"/>
      <c r="R608" s="94"/>
      <c r="S608" s="94"/>
    </row>
    <row r="609" spans="7:9" x14ac:dyDescent="0.25">
      <c r="G609" s="3" t="s">
        <v>299</v>
      </c>
      <c r="H609" s="25">
        <f>(I586*E565*(((I595)/(E575*B591))^0.3))/1000</f>
        <v>4.0373440938296552</v>
      </c>
      <c r="I609" s="3" t="s">
        <v>297</v>
      </c>
    </row>
    <row r="610" spans="7:9" x14ac:dyDescent="0.25">
      <c r="G610" s="3" t="s">
        <v>301</v>
      </c>
      <c r="H610" s="25">
        <f>(I587*E565*(((I596)/(E575*B591))^0.3))/1000</f>
        <v>3.1150118484957989</v>
      </c>
      <c r="I610" s="3" t="s">
        <v>297</v>
      </c>
    </row>
    <row r="611" spans="7:9" x14ac:dyDescent="0.25">
      <c r="G611" s="3" t="s">
        <v>303</v>
      </c>
      <c r="H611" s="25">
        <f>(I588*E565*(((I596)/(E575*B591))^0.3))/1000</f>
        <v>15.951919938451898</v>
      </c>
      <c r="I611" s="3" t="s">
        <v>297</v>
      </c>
    </row>
    <row r="612" spans="7:9" x14ac:dyDescent="0.25">
      <c r="G612" s="3" t="s">
        <v>304</v>
      </c>
      <c r="H612" s="25">
        <f>(I589*E565*(((I597)/(E575*B591))^0.3))/1000</f>
        <v>7.3320050884500061</v>
      </c>
      <c r="I612" s="3" t="s">
        <v>297</v>
      </c>
    </row>
    <row r="613" spans="7:9" x14ac:dyDescent="0.25">
      <c r="G613" s="3" t="s">
        <v>305</v>
      </c>
      <c r="H613" s="25">
        <f>(I590*E565*(((I597)/(E575*B591))^0.3))/1000</f>
        <v>6.4860045013211582</v>
      </c>
      <c r="I613" s="3" t="s">
        <v>297</v>
      </c>
    </row>
    <row r="616" spans="7:9" x14ac:dyDescent="0.25">
      <c r="G616" s="94" t="s">
        <v>309</v>
      </c>
      <c r="H616" s="94"/>
      <c r="I616" s="94"/>
    </row>
    <row r="617" spans="7:9" x14ac:dyDescent="0.25">
      <c r="G617" s="94"/>
      <c r="H617" s="94"/>
      <c r="I617" s="94"/>
    </row>
    <row r="618" spans="7:9" x14ac:dyDescent="0.25">
      <c r="G618" s="94"/>
      <c r="H618" s="94"/>
      <c r="I618" s="94"/>
    </row>
    <row r="619" spans="7:9" x14ac:dyDescent="0.25">
      <c r="G619" s="94"/>
      <c r="H619" s="94"/>
      <c r="I619" s="94"/>
    </row>
    <row r="620" spans="7:9" x14ac:dyDescent="0.25">
      <c r="G620" s="94"/>
      <c r="H620" s="94"/>
      <c r="I620" s="94"/>
    </row>
    <row r="621" spans="7:9" x14ac:dyDescent="0.25">
      <c r="G621" s="94"/>
      <c r="H621" s="94"/>
      <c r="I621" s="94"/>
    </row>
    <row r="622" spans="7:9" x14ac:dyDescent="0.25">
      <c r="G622" s="94"/>
      <c r="H622" s="94"/>
      <c r="I622" s="94"/>
    </row>
    <row r="623" spans="7:9" x14ac:dyDescent="0.25">
      <c r="G623" s="94"/>
      <c r="H623" s="94"/>
      <c r="I623" s="94"/>
    </row>
    <row r="624" spans="7:9" x14ac:dyDescent="0.25">
      <c r="G624" s="94"/>
      <c r="H624" s="94"/>
      <c r="I624" s="94"/>
    </row>
    <row r="626" spans="1:20" ht="15.75" thickBot="1" x14ac:dyDescent="0.3">
      <c r="K626" t="s">
        <v>464</v>
      </c>
    </row>
    <row r="627" spans="1:20" ht="14.45" customHeight="1" x14ac:dyDescent="0.25">
      <c r="A627" s="38" t="s">
        <v>465</v>
      </c>
      <c r="B627" s="40" t="s">
        <v>466</v>
      </c>
      <c r="C627" s="28"/>
      <c r="D627" s="28"/>
      <c r="E627" s="36" t="s">
        <v>467</v>
      </c>
      <c r="F627" s="28"/>
      <c r="G627" s="29"/>
      <c r="H627" s="40" t="s">
        <v>468</v>
      </c>
      <c r="I627" s="28"/>
      <c r="J627" s="29"/>
      <c r="Q627" s="1" t="s">
        <v>469</v>
      </c>
    </row>
    <row r="628" spans="1:20" ht="15.75" thickBot="1" x14ac:dyDescent="0.3">
      <c r="A628" s="39"/>
      <c r="B628" t="s">
        <v>470</v>
      </c>
      <c r="C628" t="s">
        <v>471</v>
      </c>
      <c r="D628" t="s">
        <v>472</v>
      </c>
      <c r="E628" s="31" t="s">
        <v>470</v>
      </c>
      <c r="F628" t="s">
        <v>471</v>
      </c>
      <c r="G628" s="30" t="s">
        <v>472</v>
      </c>
      <c r="H628" t="s">
        <v>473</v>
      </c>
      <c r="I628" t="s">
        <v>474</v>
      </c>
      <c r="J628" s="30" t="s">
        <v>475</v>
      </c>
      <c r="Q628" s="3" t="s">
        <v>88</v>
      </c>
      <c r="R628" s="25">
        <f>(N590*0.5*Q596*Q597*Q598*Q599*Q600)/S435</f>
        <v>2.193235657035232</v>
      </c>
    </row>
    <row r="629" spans="1:20" ht="15.75" thickBot="1" x14ac:dyDescent="0.3">
      <c r="A629" s="41" t="s">
        <v>476</v>
      </c>
      <c r="B629" s="42" t="s">
        <v>477</v>
      </c>
      <c r="C629" s="43">
        <f>H608</f>
        <v>3.5714966983877732</v>
      </c>
      <c r="D629" s="42" t="s">
        <v>297</v>
      </c>
      <c r="E629" s="44"/>
      <c r="F629" s="42"/>
      <c r="G629" s="45"/>
      <c r="H629" s="42"/>
      <c r="I629" s="42"/>
      <c r="J629" s="45"/>
      <c r="Q629" s="3" t="s">
        <v>92</v>
      </c>
      <c r="R629" s="25">
        <f>(0.5*N590*Q596*Q597*Q598*Q599*Q600*Q606)/S444</f>
        <v>1.436426426990201</v>
      </c>
    </row>
    <row r="630" spans="1:20" s="48" customFormat="1" x14ac:dyDescent="0.25">
      <c r="A630" s="47" t="s">
        <v>478</v>
      </c>
      <c r="B630" s="48" t="s">
        <v>21</v>
      </c>
      <c r="C630" s="48">
        <v>204</v>
      </c>
      <c r="D630" s="51">
        <v>303</v>
      </c>
      <c r="E630" s="50" t="s">
        <v>21</v>
      </c>
      <c r="F630" s="48">
        <v>205</v>
      </c>
      <c r="G630" s="49">
        <v>303</v>
      </c>
      <c r="H630" s="48">
        <v>1004</v>
      </c>
      <c r="I630" s="48">
        <v>1203</v>
      </c>
      <c r="J630" s="49">
        <v>1303</v>
      </c>
      <c r="K630"/>
      <c r="L630"/>
      <c r="M630"/>
      <c r="N630"/>
      <c r="O630"/>
      <c r="P630"/>
      <c r="Q630" s="3" t="s">
        <v>96</v>
      </c>
      <c r="R630" s="25">
        <f>(N590*0.5*Q596*Q597*Q598*Q599*Q600)/S451</f>
        <v>2.6309489425147814</v>
      </c>
      <c r="S630"/>
      <c r="T630"/>
    </row>
    <row r="631" spans="1:20" x14ac:dyDescent="0.25">
      <c r="A631" s="34" t="s">
        <v>479</v>
      </c>
      <c r="B631">
        <v>3.35</v>
      </c>
      <c r="C631">
        <v>3.35</v>
      </c>
      <c r="D631" s="52">
        <v>3.75</v>
      </c>
      <c r="E631" s="31">
        <v>3.6</v>
      </c>
      <c r="F631">
        <v>3.25</v>
      </c>
      <c r="G631" s="30">
        <v>3.55</v>
      </c>
      <c r="H631">
        <v>3.3</v>
      </c>
      <c r="I631">
        <v>3.8</v>
      </c>
      <c r="J631" s="30">
        <v>4.9000000000000004</v>
      </c>
    </row>
    <row r="632" spans="1:20" ht="15.75" thickBot="1" x14ac:dyDescent="0.3">
      <c r="A632" s="34" t="s">
        <v>480</v>
      </c>
      <c r="B632">
        <v>30</v>
      </c>
      <c r="C632">
        <v>20</v>
      </c>
      <c r="D632" s="52">
        <v>17</v>
      </c>
      <c r="E632" s="31">
        <v>30</v>
      </c>
      <c r="F632">
        <v>25</v>
      </c>
      <c r="G632" s="30">
        <v>17</v>
      </c>
      <c r="H632">
        <v>20</v>
      </c>
      <c r="I632">
        <v>17</v>
      </c>
      <c r="J632" s="30">
        <v>17</v>
      </c>
      <c r="Q632" t="s">
        <v>481</v>
      </c>
    </row>
    <row r="633" spans="1:20" ht="15.75" thickBot="1" x14ac:dyDescent="0.3">
      <c r="A633" s="41" t="s">
        <v>16</v>
      </c>
      <c r="B633" s="46" t="s">
        <v>477</v>
      </c>
      <c r="C633" s="43">
        <f>H609</f>
        <v>4.0373440938296552</v>
      </c>
      <c r="D633" s="42" t="s">
        <v>297</v>
      </c>
      <c r="E633" s="44"/>
      <c r="F633" s="42"/>
      <c r="G633" s="45"/>
      <c r="H633" s="42"/>
      <c r="I633" s="42"/>
      <c r="J633" s="45"/>
    </row>
    <row r="634" spans="1:20" s="48" customFormat="1" x14ac:dyDescent="0.25">
      <c r="A634" s="47" t="s">
        <v>478</v>
      </c>
      <c r="B634" s="48" t="s">
        <v>482</v>
      </c>
      <c r="C634" s="48">
        <v>206</v>
      </c>
      <c r="D634" s="51">
        <v>304</v>
      </c>
      <c r="E634" s="50" t="s">
        <v>482</v>
      </c>
      <c r="F634" s="48">
        <v>206</v>
      </c>
      <c r="G634" s="49">
        <v>304</v>
      </c>
      <c r="H634" s="48">
        <v>1005</v>
      </c>
      <c r="I634" s="48">
        <v>1203</v>
      </c>
      <c r="J634" s="49">
        <v>1303</v>
      </c>
      <c r="K634"/>
      <c r="L634"/>
      <c r="M634"/>
      <c r="N634"/>
      <c r="O634"/>
      <c r="P634"/>
      <c r="Q634"/>
      <c r="R634"/>
      <c r="S634"/>
      <c r="T634"/>
    </row>
    <row r="635" spans="1:20" x14ac:dyDescent="0.25">
      <c r="A635" s="34" t="s">
        <v>479</v>
      </c>
      <c r="B635">
        <v>4.2</v>
      </c>
      <c r="C635">
        <v>5.4</v>
      </c>
      <c r="D635" s="52">
        <v>5.3</v>
      </c>
      <c r="E635" s="31">
        <v>4.75</v>
      </c>
      <c r="F635">
        <v>6</v>
      </c>
      <c r="G635" s="30">
        <v>5.8</v>
      </c>
      <c r="H635">
        <v>3.7</v>
      </c>
      <c r="I635">
        <v>3.8</v>
      </c>
      <c r="J635" s="30">
        <v>4.9000000000000004</v>
      </c>
    </row>
    <row r="636" spans="1:20" ht="15.75" thickBot="1" x14ac:dyDescent="0.3">
      <c r="A636" s="34" t="s">
        <v>480</v>
      </c>
      <c r="B636">
        <v>35</v>
      </c>
      <c r="C636">
        <v>30</v>
      </c>
      <c r="D636" s="52">
        <v>20</v>
      </c>
      <c r="E636" s="31">
        <v>35</v>
      </c>
      <c r="F636">
        <v>30</v>
      </c>
      <c r="G636" s="30">
        <v>20</v>
      </c>
      <c r="H636">
        <v>25</v>
      </c>
      <c r="I636">
        <v>17</v>
      </c>
      <c r="J636" s="30">
        <v>17</v>
      </c>
      <c r="K636" t="s">
        <v>483</v>
      </c>
    </row>
    <row r="637" spans="1:20" ht="15.75" thickBot="1" x14ac:dyDescent="0.3">
      <c r="A637" s="41" t="s">
        <v>20</v>
      </c>
      <c r="B637" s="46" t="s">
        <v>477</v>
      </c>
      <c r="C637" s="43">
        <f>H610</f>
        <v>3.1150118484957989</v>
      </c>
      <c r="D637" s="42" t="s">
        <v>297</v>
      </c>
      <c r="E637" s="44"/>
      <c r="F637" s="42"/>
      <c r="G637" s="45"/>
      <c r="H637" s="42"/>
      <c r="I637" s="42"/>
      <c r="J637" s="45"/>
    </row>
    <row r="638" spans="1:20" s="48" customFormat="1" x14ac:dyDescent="0.25">
      <c r="A638" s="47" t="s">
        <v>478</v>
      </c>
      <c r="B638" s="51" t="s">
        <v>21</v>
      </c>
      <c r="C638" s="48">
        <v>204</v>
      </c>
      <c r="D638" s="48">
        <v>303</v>
      </c>
      <c r="E638" s="50" t="s">
        <v>484</v>
      </c>
      <c r="F638" s="48">
        <v>204</v>
      </c>
      <c r="G638" s="49">
        <v>302</v>
      </c>
      <c r="H638" s="48">
        <v>1004</v>
      </c>
      <c r="I638" s="48">
        <v>1203</v>
      </c>
      <c r="J638" s="49">
        <v>1303</v>
      </c>
    </row>
    <row r="639" spans="1:20" x14ac:dyDescent="0.25">
      <c r="A639" s="34" t="s">
        <v>479</v>
      </c>
      <c r="B639" s="52">
        <v>3.35</v>
      </c>
      <c r="C639">
        <v>3.35</v>
      </c>
      <c r="D639">
        <v>3.75</v>
      </c>
      <c r="E639" s="31">
        <v>2.65</v>
      </c>
      <c r="F639">
        <v>3.05</v>
      </c>
      <c r="G639" s="30">
        <v>2.85</v>
      </c>
      <c r="H639">
        <v>3.3</v>
      </c>
      <c r="I639">
        <v>3.8</v>
      </c>
      <c r="J639" s="30">
        <v>4.9000000000000004</v>
      </c>
    </row>
    <row r="640" spans="1:20" ht="15.75" thickBot="1" x14ac:dyDescent="0.3">
      <c r="A640" s="34" t="s">
        <v>480</v>
      </c>
      <c r="B640" s="52">
        <v>30</v>
      </c>
      <c r="C640">
        <v>20</v>
      </c>
      <c r="D640">
        <v>17</v>
      </c>
      <c r="E640" s="31">
        <v>25</v>
      </c>
      <c r="F640">
        <v>20</v>
      </c>
      <c r="G640" s="30">
        <v>15</v>
      </c>
      <c r="H640">
        <v>20</v>
      </c>
      <c r="I640">
        <v>17</v>
      </c>
      <c r="J640" s="30">
        <v>17</v>
      </c>
    </row>
    <row r="641" spans="1:19" ht="15.75" thickBot="1" x14ac:dyDescent="0.3">
      <c r="A641" s="41" t="s">
        <v>25</v>
      </c>
      <c r="B641" s="46" t="s">
        <v>477</v>
      </c>
      <c r="C641" s="43">
        <f>H611</f>
        <v>15.951919938451898</v>
      </c>
      <c r="D641" s="42" t="s">
        <v>297</v>
      </c>
      <c r="E641" s="44"/>
      <c r="F641" s="42"/>
      <c r="G641" s="45"/>
      <c r="H641" s="42"/>
      <c r="I641" s="42"/>
      <c r="J641" s="45"/>
      <c r="N641" t="s">
        <v>485</v>
      </c>
    </row>
    <row r="642" spans="1:19" s="48" customFormat="1" x14ac:dyDescent="0.25">
      <c r="A642" s="47" t="s">
        <v>478</v>
      </c>
      <c r="B642" s="48" t="s">
        <v>502</v>
      </c>
      <c r="C642" s="48">
        <v>213</v>
      </c>
      <c r="D642" s="84">
        <v>311</v>
      </c>
      <c r="E642" s="50" t="s">
        <v>486</v>
      </c>
      <c r="F642" s="48">
        <v>212</v>
      </c>
      <c r="G642" s="49">
        <v>309</v>
      </c>
      <c r="H642" s="48">
        <v>1016</v>
      </c>
      <c r="I642" s="48">
        <v>1211</v>
      </c>
      <c r="J642" s="82">
        <v>1308</v>
      </c>
      <c r="K642"/>
      <c r="P642" s="71" t="s">
        <v>487</v>
      </c>
    </row>
    <row r="643" spans="1:19" x14ac:dyDescent="0.25">
      <c r="A643" s="34" t="s">
        <v>479</v>
      </c>
      <c r="B643">
        <v>17.2</v>
      </c>
      <c r="C643">
        <v>16</v>
      </c>
      <c r="D643" s="85">
        <v>18</v>
      </c>
      <c r="E643" s="31">
        <v>16.600000000000001</v>
      </c>
      <c r="F643">
        <v>16.399999999999999</v>
      </c>
      <c r="G643" s="30">
        <v>16.399999999999999</v>
      </c>
      <c r="H643">
        <v>17.3</v>
      </c>
      <c r="I643">
        <v>14.9</v>
      </c>
      <c r="J643" s="83">
        <v>16.5</v>
      </c>
      <c r="P643" s="3"/>
      <c r="Q643" s="3" t="s">
        <v>488</v>
      </c>
      <c r="R643" s="3" t="s">
        <v>489</v>
      </c>
      <c r="S643" s="3" t="s">
        <v>490</v>
      </c>
    </row>
    <row r="644" spans="1:19" ht="15.75" thickBot="1" x14ac:dyDescent="0.3">
      <c r="A644" s="34" t="s">
        <v>480</v>
      </c>
      <c r="B644">
        <v>90</v>
      </c>
      <c r="C644">
        <v>65</v>
      </c>
      <c r="D644" s="85">
        <v>55</v>
      </c>
      <c r="E644" s="31">
        <v>80</v>
      </c>
      <c r="F644">
        <v>60</v>
      </c>
      <c r="G644" s="30">
        <v>45</v>
      </c>
      <c r="H644">
        <v>80</v>
      </c>
      <c r="I644">
        <v>55</v>
      </c>
      <c r="J644" s="83">
        <v>40</v>
      </c>
      <c r="P644" s="3" t="s">
        <v>88</v>
      </c>
      <c r="Q644" s="3">
        <f>S435</f>
        <v>19.214905094588762</v>
      </c>
      <c r="R644" s="3">
        <f>(N590*0.5*Q596*Q597*Q598*Q599*Q600)</f>
        <v>42.142815000000006</v>
      </c>
      <c r="S644" s="21">
        <f>0.9*Q599*N590</f>
        <v>159.30000000000001</v>
      </c>
    </row>
    <row r="645" spans="1:19" ht="15.75" thickBot="1" x14ac:dyDescent="0.3">
      <c r="A645" s="41" t="s">
        <v>29</v>
      </c>
      <c r="B645" s="46" t="s">
        <v>477</v>
      </c>
      <c r="C645" s="43">
        <f>H612</f>
        <v>7.3320050884500061</v>
      </c>
      <c r="D645" s="42" t="s">
        <v>297</v>
      </c>
      <c r="E645" s="44"/>
      <c r="F645" s="42"/>
      <c r="G645" s="45"/>
      <c r="H645" s="42"/>
      <c r="I645" s="42"/>
      <c r="J645" s="45"/>
      <c r="P645" s="3" t="s">
        <v>92</v>
      </c>
      <c r="Q645" s="3">
        <f>S444</f>
        <v>19.624516357659427</v>
      </c>
      <c r="R645" s="3">
        <f>(0.5*N590*Q596*Q597*Q598*Q599*Q600*Q606)</f>
        <v>28.189173913043483</v>
      </c>
      <c r="S645" s="21">
        <f>S644</f>
        <v>159.30000000000001</v>
      </c>
    </row>
    <row r="646" spans="1:19" s="48" customFormat="1" x14ac:dyDescent="0.25">
      <c r="A646" s="47" t="s">
        <v>478</v>
      </c>
      <c r="B646" s="48" t="s">
        <v>491</v>
      </c>
      <c r="C646" s="51">
        <v>207</v>
      </c>
      <c r="D646" s="48">
        <v>306</v>
      </c>
      <c r="E646" s="50" t="s">
        <v>492</v>
      </c>
      <c r="F646" s="48">
        <v>207</v>
      </c>
      <c r="G646" s="49">
        <v>305</v>
      </c>
      <c r="H646" s="48">
        <v>1008</v>
      </c>
      <c r="I646" s="48">
        <v>1206</v>
      </c>
      <c r="J646" s="49">
        <v>1305</v>
      </c>
      <c r="P646" s="72" t="s">
        <v>96</v>
      </c>
      <c r="Q646" s="61">
        <f>S451</f>
        <v>16.018104463752145</v>
      </c>
      <c r="R646" s="61">
        <f>(N590*0.5*Q596*Q597*Q598*Q599*Q600)</f>
        <v>42.142815000000006</v>
      </c>
      <c r="S646" s="74">
        <f>S645</f>
        <v>159.30000000000001</v>
      </c>
    </row>
    <row r="647" spans="1:19" x14ac:dyDescent="0.25">
      <c r="A647" s="34" t="s">
        <v>479</v>
      </c>
      <c r="B647">
        <v>8.1999999999999993</v>
      </c>
      <c r="C647" s="52">
        <v>8.5</v>
      </c>
      <c r="D647">
        <v>8.8000000000000007</v>
      </c>
      <c r="E647" s="31">
        <v>6.6</v>
      </c>
      <c r="F647">
        <v>8.1999999999999993</v>
      </c>
      <c r="G647" s="30">
        <v>7.2</v>
      </c>
      <c r="H647">
        <v>7.2</v>
      </c>
      <c r="I647">
        <v>8.3000000000000007</v>
      </c>
      <c r="J647" s="30">
        <v>8.5</v>
      </c>
    </row>
    <row r="648" spans="1:19" ht="15.75" thickBot="1" x14ac:dyDescent="0.3">
      <c r="A648" s="34" t="s">
        <v>480</v>
      </c>
      <c r="B648">
        <v>55</v>
      </c>
      <c r="C648" s="52">
        <v>35</v>
      </c>
      <c r="D648">
        <v>30</v>
      </c>
      <c r="E648" s="31">
        <v>50</v>
      </c>
      <c r="F648">
        <v>35</v>
      </c>
      <c r="G648" s="30">
        <v>25</v>
      </c>
      <c r="H648">
        <v>40</v>
      </c>
      <c r="I648">
        <v>30</v>
      </c>
      <c r="J648" s="30">
        <v>25</v>
      </c>
      <c r="P648" s="1" t="s">
        <v>493</v>
      </c>
    </row>
    <row r="649" spans="1:19" ht="15.75" thickBot="1" x14ac:dyDescent="0.3">
      <c r="A649" s="41" t="s">
        <v>31</v>
      </c>
      <c r="B649" s="46" t="s">
        <v>477</v>
      </c>
      <c r="C649" s="43">
        <f>H613</f>
        <v>6.4860045013211582</v>
      </c>
      <c r="D649" s="42" t="s">
        <v>297</v>
      </c>
      <c r="E649" s="44"/>
      <c r="F649" s="42"/>
      <c r="G649" s="45"/>
      <c r="H649" s="42"/>
      <c r="I649" s="42"/>
      <c r="J649" s="45"/>
      <c r="P649" s="3"/>
      <c r="Q649" s="3" t="s">
        <v>494</v>
      </c>
      <c r="R649" s="3" t="s">
        <v>495</v>
      </c>
      <c r="S649" s="3" t="s">
        <v>496</v>
      </c>
    </row>
    <row r="650" spans="1:19" s="48" customFormat="1" x14ac:dyDescent="0.25">
      <c r="A650" s="47" t="s">
        <v>478</v>
      </c>
      <c r="B650" s="48" t="s">
        <v>497</v>
      </c>
      <c r="C650" s="51">
        <v>207</v>
      </c>
      <c r="D650" s="48">
        <v>305</v>
      </c>
      <c r="E650" s="50" t="s">
        <v>497</v>
      </c>
      <c r="F650" s="48">
        <v>206</v>
      </c>
      <c r="G650" s="49">
        <v>304</v>
      </c>
      <c r="H650" s="48">
        <v>1008</v>
      </c>
      <c r="I650" s="48">
        <v>1206</v>
      </c>
      <c r="J650" s="49">
        <v>1304</v>
      </c>
      <c r="K650"/>
      <c r="P650" s="3" t="s">
        <v>88</v>
      </c>
      <c r="Q650" s="75">
        <f>10^(3*(LOG10((Q644*R644)/(S644^2))/LOG10(R644/S644)))</f>
        <v>59141931.623793058</v>
      </c>
      <c r="R650" s="25">
        <f>B4</f>
        <v>1600</v>
      </c>
      <c r="S650" s="75">
        <f>Q650*R650/60</f>
        <v>1577118176.6344817</v>
      </c>
    </row>
    <row r="651" spans="1:19" x14ac:dyDescent="0.25">
      <c r="A651" s="34" t="s">
        <v>479</v>
      </c>
      <c r="B651">
        <v>5.8</v>
      </c>
      <c r="C651" s="52">
        <v>8.5</v>
      </c>
      <c r="D651">
        <v>5.9</v>
      </c>
      <c r="E651" s="31">
        <v>6.3</v>
      </c>
      <c r="F651">
        <v>6</v>
      </c>
      <c r="G651" s="30">
        <v>5.8</v>
      </c>
      <c r="H651">
        <v>7.2</v>
      </c>
      <c r="I651">
        <v>8.3000000000000007</v>
      </c>
      <c r="J651" s="30">
        <v>6.2</v>
      </c>
      <c r="P651" s="72" t="s">
        <v>92</v>
      </c>
      <c r="Q651" s="75">
        <f>10^(3*(LOG10((Q645*R645)/(S645^2))/LOG10(R645/S645)))</f>
        <v>4239835.517567087</v>
      </c>
      <c r="R651" s="73">
        <f>H374</f>
        <v>360</v>
      </c>
      <c r="S651" s="75">
        <f t="shared" ref="S651:S652" si="28">Q651*R651/60</f>
        <v>25439013.105402522</v>
      </c>
    </row>
    <row r="652" spans="1:19" ht="15.75" thickBot="1" x14ac:dyDescent="0.3">
      <c r="A652" s="35" t="s">
        <v>480</v>
      </c>
      <c r="B652" s="32">
        <v>45</v>
      </c>
      <c r="C652" s="53">
        <v>35</v>
      </c>
      <c r="D652" s="32">
        <v>25</v>
      </c>
      <c r="E652" s="37">
        <v>45</v>
      </c>
      <c r="F652" s="32">
        <v>30</v>
      </c>
      <c r="G652" s="33">
        <v>20</v>
      </c>
      <c r="H652" s="32">
        <v>40</v>
      </c>
      <c r="I652" s="32">
        <v>30</v>
      </c>
      <c r="J652" s="33">
        <v>20</v>
      </c>
      <c r="P652" s="3" t="s">
        <v>96</v>
      </c>
      <c r="Q652" s="75">
        <f>10^(3*(LOG10((Q646*R646)/(S646^2))/LOG10(R646/S646)))</f>
        <v>152205914.92072231</v>
      </c>
      <c r="R652" s="25">
        <f>J374</f>
        <v>81</v>
      </c>
      <c r="S652" s="75">
        <f t="shared" si="28"/>
        <v>205477985.14297512</v>
      </c>
    </row>
    <row r="654" spans="1:19" x14ac:dyDescent="0.25">
      <c r="A654" s="94" t="s">
        <v>503</v>
      </c>
      <c r="B654" s="94"/>
      <c r="C654" s="94"/>
      <c r="D654" s="94"/>
      <c r="E654" s="94"/>
      <c r="F654" s="94"/>
      <c r="G654" s="94"/>
      <c r="H654" s="94"/>
      <c r="I654" s="94"/>
      <c r="J654" s="94"/>
    </row>
    <row r="655" spans="1:19" x14ac:dyDescent="0.25">
      <c r="A655" s="94"/>
      <c r="B655" s="94"/>
      <c r="C655" s="94"/>
      <c r="D655" s="94"/>
      <c r="E655" s="94"/>
      <c r="F655" s="94"/>
      <c r="G655" s="94"/>
      <c r="H655" s="94"/>
      <c r="I655" s="94"/>
      <c r="J655" s="94"/>
    </row>
    <row r="656" spans="1:19" x14ac:dyDescent="0.25">
      <c r="A656" s="94"/>
      <c r="B656" s="94"/>
      <c r="C656" s="94"/>
      <c r="D656" s="94"/>
      <c r="E656" s="94"/>
      <c r="F656" s="94"/>
      <c r="G656" s="94"/>
      <c r="H656" s="94"/>
      <c r="I656" s="94"/>
      <c r="J656" s="94"/>
    </row>
    <row r="658" spans="1:1" x14ac:dyDescent="0.25">
      <c r="A658" s="1"/>
    </row>
  </sheetData>
  <mergeCells count="105">
    <mergeCell ref="P607:S608"/>
    <mergeCell ref="K463:S464"/>
    <mergeCell ref="P478:S479"/>
    <mergeCell ref="Q590:R590"/>
    <mergeCell ref="Q593:R593"/>
    <mergeCell ref="K298:S299"/>
    <mergeCell ref="O279:P279"/>
    <mergeCell ref="O280:P280"/>
    <mergeCell ref="O281:P281"/>
    <mergeCell ref="O282:P282"/>
    <mergeCell ref="O331:P331"/>
    <mergeCell ref="O364:P364"/>
    <mergeCell ref="O328:O330"/>
    <mergeCell ref="O220:T221"/>
    <mergeCell ref="Q254:S262"/>
    <mergeCell ref="O276:P276"/>
    <mergeCell ref="O278:P278"/>
    <mergeCell ref="O277:P277"/>
    <mergeCell ref="Q49:R49"/>
    <mergeCell ref="Q50:R50"/>
    <mergeCell ref="R52:S52"/>
    <mergeCell ref="R53:S53"/>
    <mergeCell ref="R54:S54"/>
    <mergeCell ref="A654:J656"/>
    <mergeCell ref="Q35:R35"/>
    <mergeCell ref="Q36:R36"/>
    <mergeCell ref="Q37:R37"/>
    <mergeCell ref="Q38:R38"/>
    <mergeCell ref="Q39:R39"/>
    <mergeCell ref="Q40:R40"/>
    <mergeCell ref="Q41:R41"/>
    <mergeCell ref="Q42:R42"/>
    <mergeCell ref="Q43:R43"/>
    <mergeCell ref="Q44:R44"/>
    <mergeCell ref="Q45:R45"/>
    <mergeCell ref="Q46:R46"/>
    <mergeCell ref="Q47:R47"/>
    <mergeCell ref="Q48:R48"/>
    <mergeCell ref="E582:J583"/>
    <mergeCell ref="G616:I624"/>
    <mergeCell ref="G412:H412"/>
    <mergeCell ref="G413:H413"/>
    <mergeCell ref="G411:H411"/>
    <mergeCell ref="H415:I415"/>
    <mergeCell ref="H416:I416"/>
    <mergeCell ref="H417:I417"/>
    <mergeCell ref="R55:S55"/>
    <mergeCell ref="H418:I418"/>
    <mergeCell ref="G410:H410"/>
    <mergeCell ref="B365:D365"/>
    <mergeCell ref="F365:G365"/>
    <mergeCell ref="F366:G366"/>
    <mergeCell ref="B366:C366"/>
    <mergeCell ref="G405:H405"/>
    <mergeCell ref="G406:H406"/>
    <mergeCell ref="G407:H407"/>
    <mergeCell ref="G408:H408"/>
    <mergeCell ref="G409:H409"/>
    <mergeCell ref="G398:H398"/>
    <mergeCell ref="G399:H399"/>
    <mergeCell ref="G400:H400"/>
    <mergeCell ref="G401:H401"/>
    <mergeCell ref="G402:H402"/>
    <mergeCell ref="G403:H403"/>
    <mergeCell ref="G404:H404"/>
    <mergeCell ref="G287:H287"/>
    <mergeCell ref="A324:H326"/>
    <mergeCell ref="I328:J328"/>
    <mergeCell ref="I329:J329"/>
    <mergeCell ref="I327:J327"/>
    <mergeCell ref="F252:I255"/>
    <mergeCell ref="A281:J282"/>
    <mergeCell ref="G285:H285"/>
    <mergeCell ref="G284:H284"/>
    <mergeCell ref="G286:H286"/>
    <mergeCell ref="A199:E201"/>
    <mergeCell ref="G200:H200"/>
    <mergeCell ref="G201:H201"/>
    <mergeCell ref="G202:H202"/>
    <mergeCell ref="G203:H203"/>
    <mergeCell ref="G199:J199"/>
    <mergeCell ref="G137:H137"/>
    <mergeCell ref="A186:E188"/>
    <mergeCell ref="E12:G12"/>
    <mergeCell ref="G142:G143"/>
    <mergeCell ref="H142:H143"/>
    <mergeCell ref="B61:B62"/>
    <mergeCell ref="G96:H96"/>
    <mergeCell ref="A18:C19"/>
    <mergeCell ref="D22:D23"/>
    <mergeCell ref="B25:B26"/>
    <mergeCell ref="D58:D59"/>
    <mergeCell ref="H144:H145"/>
    <mergeCell ref="G144:G145"/>
    <mergeCell ref="H243:H244"/>
    <mergeCell ref="I243:I244"/>
    <mergeCell ref="G206:H206"/>
    <mergeCell ref="G207:H207"/>
    <mergeCell ref="G208:H208"/>
    <mergeCell ref="G209:H209"/>
    <mergeCell ref="G205:J205"/>
    <mergeCell ref="G211:J214"/>
    <mergeCell ref="H236:I236"/>
    <mergeCell ref="H241:H242"/>
    <mergeCell ref="I241:I242"/>
  </mergeCells>
  <pageMargins left="0.25" right="0.25" top="0.75" bottom="0.75" header="0.3" footer="0.3"/>
  <pageSetup orientation="landscape" r:id="rId1"/>
  <headerFooter>
    <oddHeader>&amp;LPage: &amp;P&amp;C MCD Final Project Calculations Spreadsheet
MAE 353 Section 1
&amp;RLillian Wilson
Maxwell Van Huis
Andrew Vitale</oddHeader>
  </headerFooter>
  <ignoredErrors>
    <ignoredError sqref="I376" formula="1"/>
  </ignoredErrors>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D4A617F94303734AA61B83751B50D2D1" ma:contentTypeVersion="3" ma:contentTypeDescription="Create a new document." ma:contentTypeScope="" ma:versionID="c01dbad21663e7cb9571b90ece9ea582">
  <xsd:schema xmlns:xsd="http://www.w3.org/2001/XMLSchema" xmlns:xs="http://www.w3.org/2001/XMLSchema" xmlns:p="http://schemas.microsoft.com/office/2006/metadata/properties" xmlns:ns2="dcbf9fd8-ddf9-49c7-aa21-dd3c90aaf809" targetNamespace="http://schemas.microsoft.com/office/2006/metadata/properties" ma:root="true" ma:fieldsID="30ecf721281cff8b66c50284e6cedb58" ns2:_="">
    <xsd:import namespace="dcbf9fd8-ddf9-49c7-aa21-dd3c90aaf809"/>
    <xsd:element name="properties">
      <xsd:complexType>
        <xsd:sequence>
          <xsd:element name="documentManagement">
            <xsd:complexType>
              <xsd:all>
                <xsd:element ref="ns2:MediaServiceMetadata" minOccurs="0"/>
                <xsd:element ref="ns2:MediaServiceFastMetadata"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cbf9fd8-ddf9-49c7-aa21-dd3c90aaf80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F47630B1-AC1C-4228-9D9E-749EE8BF224A}">
  <ds:schemaRefs>
    <ds:schemaRef ds:uri="http://schemas.microsoft.com/sharepoint/v3/contenttype/forms"/>
  </ds:schemaRefs>
</ds:datastoreItem>
</file>

<file path=customXml/itemProps2.xml><?xml version="1.0" encoding="utf-8"?>
<ds:datastoreItem xmlns:ds="http://schemas.openxmlformats.org/officeDocument/2006/customXml" ds:itemID="{550DBACA-261A-4BA5-B035-56D1A1D9D0D5}">
  <ds:schemaRefs>
    <ds:schemaRef ds:uri="http://purl.org/dc/elements/1.1/"/>
    <ds:schemaRef ds:uri="http://schemas.microsoft.com/office/infopath/2007/PartnerControls"/>
    <ds:schemaRef ds:uri="http://schemas.microsoft.com/office/2006/metadata/properties"/>
    <ds:schemaRef ds:uri="dcbf9fd8-ddf9-49c7-aa21-dd3c90aaf809"/>
    <ds:schemaRef ds:uri="http://purl.org/dc/dcmitype/"/>
    <ds:schemaRef ds:uri="http://www.w3.org/XML/1998/namespace"/>
    <ds:schemaRef ds:uri="http://schemas.microsoft.com/office/2006/documentManagement/types"/>
    <ds:schemaRef ds:uri="http://schemas.openxmlformats.org/package/2006/metadata/core-properties"/>
    <ds:schemaRef ds:uri="http://purl.org/dc/terms/"/>
  </ds:schemaRefs>
</ds:datastoreItem>
</file>

<file path=customXml/itemProps3.xml><?xml version="1.0" encoding="utf-8"?>
<ds:datastoreItem xmlns:ds="http://schemas.openxmlformats.org/officeDocument/2006/customXml" ds:itemID="{DDE416C3-1A08-43BF-9D9E-1BBE82A8342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cbf9fd8-ddf9-49c7-aa21-dd3c90aaf80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Carter, Dakota James</dc:creator>
  <cp:keywords/>
  <dc:description/>
  <cp:lastModifiedBy>Vitale, Andrew Carl</cp:lastModifiedBy>
  <cp:revision/>
  <dcterms:created xsi:type="dcterms:W3CDTF">2024-11-09T18:20:51Z</dcterms:created>
  <dcterms:modified xsi:type="dcterms:W3CDTF">2025-04-29T21:57:31Z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0x010100D4A617F94303734AA61B83751B50D2D1</vt:lpwstr>
  </property>
  <property fmtid="{D5CDD505-2E9C-101B-9397-08002B2CF9AE}" pid="3" name="Order">
    <vt:r8>500</vt:r8>
  </property>
  <property fmtid="{D5CDD505-2E9C-101B-9397-08002B2CF9AE}" pid="4" name="xd_Signature">
    <vt:bool>false</vt:bool>
  </property>
  <property fmtid="{D5CDD505-2E9C-101B-9397-08002B2CF9AE}" pid="5" name="xd_ProgID">
    <vt:lpwstr/>
  </property>
  <property fmtid="{D5CDD505-2E9C-101B-9397-08002B2CF9AE}" pid="6" name="ComplianceAssetId">
    <vt:lpwstr/>
  </property>
  <property fmtid="{D5CDD505-2E9C-101B-9397-08002B2CF9AE}" pid="7" name="TemplateUrl">
    <vt:lpwstr/>
  </property>
  <property fmtid="{D5CDD505-2E9C-101B-9397-08002B2CF9AE}" pid="8" name="_ExtendedDescription">
    <vt:lpwstr/>
  </property>
  <property fmtid="{D5CDD505-2E9C-101B-9397-08002B2CF9AE}" pid="9" name="TriggerFlowInfo">
    <vt:lpwstr/>
  </property>
</Properties>
</file>